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xsys\OneDrive\Máy tính\minh chứng CCHC 2024\5. TÀI SẢN CÔNG\"/>
    </mc:Choice>
  </mc:AlternateContent>
  <xr:revisionPtr revIDLastSave="0" documentId="8_{9B8714DA-59CD-49E8-9105-75F1EC44F828}" xr6:coauthVersionLast="36" xr6:coauthVersionMax="36" xr10:uidLastSave="{00000000-0000-0000-0000-000000000000}"/>
  <bookViews>
    <workbookView xWindow="0" yWindow="0" windowWidth="20490" windowHeight="6945" firstSheet="1" activeTab="2" xr2:uid="{00000000-000D-0000-FFFF-FFFF00000000}"/>
  </bookViews>
  <sheets>
    <sheet name="Mau so 02 TT612017" sheetId="1" state="hidden" r:id="rId1"/>
    <sheet name="Mẫu số 02.TT61.2017" sheetId="3" r:id="rId2"/>
    <sheet name="DM. trang thiết bị gói 1.5t" sheetId="2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6" i="3" l="1"/>
  <c r="H105" i="3"/>
  <c r="H111" i="3" s="1"/>
  <c r="H114" i="3" s="1"/>
  <c r="H107" i="3"/>
  <c r="K103" i="3"/>
  <c r="H101" i="3"/>
  <c r="H100" i="3" s="1"/>
  <c r="H98" i="3"/>
  <c r="G98" i="3"/>
  <c r="H96" i="3"/>
  <c r="H92" i="3"/>
  <c r="H90" i="3"/>
  <c r="K87" i="3"/>
  <c r="I87" i="3"/>
  <c r="H86" i="3"/>
  <c r="H85" i="3" s="1"/>
  <c r="G86" i="3"/>
  <c r="H84" i="3"/>
  <c r="H80" i="3" s="1"/>
  <c r="H79" i="3" s="1"/>
  <c r="G80" i="3"/>
  <c r="G79" i="3" s="1"/>
  <c r="H72" i="3"/>
  <c r="G72" i="3"/>
  <c r="K71" i="3"/>
  <c r="H67" i="3"/>
  <c r="G67" i="3"/>
  <c r="H62" i="3"/>
  <c r="G62" i="3"/>
  <c r="K61" i="3"/>
  <c r="H58" i="3"/>
  <c r="G58" i="3"/>
  <c r="K55" i="3"/>
  <c r="H55" i="3"/>
  <c r="H50" i="3" s="1"/>
  <c r="I50" i="3" s="1"/>
  <c r="G55" i="3"/>
  <c r="H51" i="3"/>
  <c r="G51" i="3"/>
  <c r="E50" i="3"/>
  <c r="H48" i="3"/>
  <c r="G48" i="3"/>
  <c r="K45" i="3"/>
  <c r="G43" i="3"/>
  <c r="K42" i="3"/>
  <c r="K43" i="3" s="1"/>
  <c r="H42" i="3"/>
  <c r="K40" i="3"/>
  <c r="H40" i="3"/>
  <c r="H39" i="3" s="1"/>
  <c r="G39" i="3"/>
  <c r="K38" i="3"/>
  <c r="K37" i="3"/>
  <c r="H36" i="3"/>
  <c r="H35" i="3"/>
  <c r="H32" i="3"/>
  <c r="H31" i="3"/>
  <c r="H30" i="3"/>
  <c r="G29" i="3"/>
  <c r="P28" i="3"/>
  <c r="H27" i="3"/>
  <c r="G27" i="3"/>
  <c r="K25" i="3"/>
  <c r="H25" i="3"/>
  <c r="H24" i="3" s="1"/>
  <c r="E23" i="3"/>
  <c r="E22" i="3" s="1"/>
  <c r="E19" i="3" s="1"/>
  <c r="H16" i="3"/>
  <c r="H15" i="3" s="1"/>
  <c r="H14" i="3" s="1"/>
  <c r="G16" i="3"/>
  <c r="G15" i="3" s="1"/>
  <c r="E16" i="3"/>
  <c r="E14" i="3" s="1"/>
  <c r="G14" i="3"/>
  <c r="H104" i="3" l="1"/>
  <c r="G23" i="3"/>
  <c r="H45" i="3"/>
  <c r="H112" i="3"/>
  <c r="H47" i="3"/>
  <c r="G50" i="3"/>
  <c r="G22" i="3" s="1"/>
  <c r="G19" i="3" s="1"/>
  <c r="H89" i="3"/>
  <c r="H88" i="3" s="1"/>
  <c r="H46" i="3"/>
  <c r="E15" i="3"/>
  <c r="H29" i="3"/>
  <c r="H44" i="3"/>
  <c r="H115" i="3" l="1"/>
  <c r="H113" i="3" s="1"/>
  <c r="H116" i="3" s="1"/>
  <c r="H110" i="3"/>
  <c r="H103" i="3"/>
  <c r="H43" i="3"/>
  <c r="H23" i="3" s="1"/>
  <c r="J27" i="3"/>
  <c r="K22" i="3" l="1"/>
  <c r="K24" i="3"/>
  <c r="J23" i="3"/>
  <c r="H22" i="3"/>
  <c r="H20" i="3" l="1"/>
  <c r="H19" i="3"/>
  <c r="I21" i="3" l="1"/>
  <c r="H13" i="3"/>
  <c r="F55" i="2" l="1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70" i="2" s="1"/>
  <c r="F5" i="2"/>
  <c r="H113" i="1" l="1"/>
  <c r="H110" i="1"/>
  <c r="H107" i="1"/>
  <c r="H106" i="1"/>
  <c r="H105" i="1"/>
  <c r="H116" i="1" s="1"/>
  <c r="K103" i="1"/>
  <c r="H101" i="1"/>
  <c r="H100" i="1" s="1"/>
  <c r="H98" i="1"/>
  <c r="G98" i="1"/>
  <c r="H96" i="1"/>
  <c r="H92" i="1"/>
  <c r="H90" i="1"/>
  <c r="K87" i="1"/>
  <c r="I87" i="1"/>
  <c r="H86" i="1"/>
  <c r="H85" i="1" s="1"/>
  <c r="G86" i="1"/>
  <c r="H84" i="1"/>
  <c r="H80" i="1" s="1"/>
  <c r="H79" i="1" s="1"/>
  <c r="G80" i="1"/>
  <c r="G79" i="1" s="1"/>
  <c r="H72" i="1"/>
  <c r="G72" i="1"/>
  <c r="K71" i="1"/>
  <c r="H67" i="1"/>
  <c r="G67" i="1"/>
  <c r="H62" i="1"/>
  <c r="G62" i="1"/>
  <c r="K61" i="1"/>
  <c r="H58" i="1"/>
  <c r="G58" i="1"/>
  <c r="K55" i="1"/>
  <c r="H55" i="1"/>
  <c r="G55" i="1"/>
  <c r="H51" i="1"/>
  <c r="H50" i="1" s="1"/>
  <c r="I50" i="1" s="1"/>
  <c r="G51" i="1"/>
  <c r="E50" i="1"/>
  <c r="H48" i="1"/>
  <c r="G48" i="1"/>
  <c r="K45" i="1"/>
  <c r="G43" i="1"/>
  <c r="K42" i="1"/>
  <c r="K43" i="1" s="1"/>
  <c r="H42" i="1"/>
  <c r="H40" i="1" s="1"/>
  <c r="H39" i="1" s="1"/>
  <c r="K40" i="1"/>
  <c r="G39" i="1"/>
  <c r="K38" i="1"/>
  <c r="K37" i="1"/>
  <c r="H36" i="1"/>
  <c r="H35" i="1"/>
  <c r="H32" i="1"/>
  <c r="H31" i="1"/>
  <c r="H29" i="1" s="1"/>
  <c r="H30" i="1"/>
  <c r="G29" i="1"/>
  <c r="P28" i="1"/>
  <c r="H27" i="1"/>
  <c r="G27" i="1"/>
  <c r="K25" i="1"/>
  <c r="H25" i="1"/>
  <c r="E23" i="1"/>
  <c r="E22" i="1" s="1"/>
  <c r="E19" i="1" s="1"/>
  <c r="H16" i="1"/>
  <c r="H15" i="1" s="1"/>
  <c r="H14" i="1" s="1"/>
  <c r="G16" i="1"/>
  <c r="G15" i="1" s="1"/>
  <c r="E16" i="1"/>
  <c r="E15" i="1" s="1"/>
  <c r="H89" i="1" l="1"/>
  <c r="H88" i="1" s="1"/>
  <c r="E14" i="1"/>
  <c r="G23" i="1"/>
  <c r="G14" i="1"/>
  <c r="G50" i="1"/>
  <c r="H46" i="1"/>
  <c r="H24" i="1"/>
  <c r="H44" i="1"/>
  <c r="H47" i="1"/>
  <c r="H45" i="1"/>
  <c r="H104" i="1"/>
  <c r="H103" i="1" s="1"/>
  <c r="G22" i="1" l="1"/>
  <c r="G19" i="1" s="1"/>
  <c r="H43" i="1"/>
  <c r="K22" i="1" s="1"/>
  <c r="J27" i="1"/>
  <c r="H23" i="1" l="1"/>
  <c r="J23" i="1" s="1"/>
  <c r="H22" i="1"/>
  <c r="K24" i="1"/>
  <c r="H19" i="1" l="1"/>
  <c r="H20" i="1"/>
  <c r="I21" i="1"/>
  <c r="H13" i="1"/>
</calcChain>
</file>

<file path=xl/sharedStrings.xml><?xml version="1.0" encoding="utf-8"?>
<sst xmlns="http://schemas.openxmlformats.org/spreadsheetml/2006/main" count="453" uniqueCount="215">
  <si>
    <t>Tên đơn vị: TRƯỜNG CAO ĐẲNG Y TẾ LÂM ĐỒNG</t>
  </si>
  <si>
    <t>Phục lục số 2- Biểu số 04</t>
  </si>
  <si>
    <t xml:space="preserve">Chương: 423 </t>
  </si>
  <si>
    <t>DỰ TOÁN NGÂN SÁCH NĂM 2024 ( SAU PHÂN BỔ)</t>
  </si>
  <si>
    <t>Đơn vị: Trường Cao đẳng Y tế Lâm Đồng</t>
  </si>
  <si>
    <t>Mã ĐVSDNS: 1011571 CHƯƠNG 423 KHOẢN 501</t>
  </si>
  <si>
    <t>Đơn vị: triệu đồng</t>
  </si>
  <si>
    <t>TT</t>
  </si>
  <si>
    <t>LOẠI</t>
  </si>
  <si>
    <t>KHOẢN</t>
  </si>
  <si>
    <t>NỘI DUNG</t>
  </si>
  <si>
    <t>Thực hiện năm 2015</t>
  </si>
  <si>
    <t>Năm 2016</t>
  </si>
  <si>
    <t>Dự toán năm 2024</t>
  </si>
  <si>
    <t>Ghi chú</t>
  </si>
  <si>
    <t>DỰ TOÁN</t>
  </si>
  <si>
    <t>ƯỚC THU</t>
  </si>
  <si>
    <t>A</t>
  </si>
  <si>
    <t>B</t>
  </si>
  <si>
    <t>C</t>
  </si>
  <si>
    <t>A - PHẦN THU</t>
  </si>
  <si>
    <t>I</t>
  </si>
  <si>
    <t>Phần thu - chi phí, lệ phí, dịch vụ. Khác</t>
  </si>
  <si>
    <t>Thu sự nghiệp</t>
  </si>
  <si>
    <t>Thu học phí và hoạt động dich vụ</t>
  </si>
  <si>
    <t>Thu học phí trong ngân sách</t>
  </si>
  <si>
    <t>Thu hoạt động dịch vụ</t>
  </si>
  <si>
    <t>Dự toán nguồn ngân sách cấp ( Nguồn tự chủ và không tự chủ)</t>
  </si>
  <si>
    <t>B- PHẦN CHI (1)</t>
  </si>
  <si>
    <t>Chi thường xuyên nguồn ngân sách cấp</t>
  </si>
  <si>
    <t>Thanh toán cho cá nhân</t>
  </si>
  <si>
    <t>Tiền lương</t>
  </si>
  <si>
    <t>43bc = (1.490.000đ x hệ số157.9  x 12 tháng)</t>
  </si>
  <si>
    <t>Tiền công : 2 ng: x 4.500.000ng x 12 tháng</t>
  </si>
  <si>
    <t>Tiền công trả cho thù lao thường xuyên</t>
  </si>
  <si>
    <t>Phụ cấp lương</t>
  </si>
  <si>
    <t>Chöùc vuï : (10.75 x 730,000ñ x 12 thg)</t>
  </si>
  <si>
    <t>Chức vụ: (5.5 x 1.490.000đ x 12 tháng)</t>
  </si>
  <si>
    <t>Khu vöïc 8.8 x 730,000ñ x 12 thaùng</t>
  </si>
  <si>
    <t>Khu vực 4.1 x 1.490.000đ x 12 tháng</t>
  </si>
  <si>
    <t>Traùch nhieäm : 0.4 x 730,000ñ x 12 thaùng</t>
  </si>
  <si>
    <t>Trách nhiệm : 1.95 x 1.490.000đ x 12 tháng</t>
  </si>
  <si>
    <t>Phuï caáp öu ñaõi : 25 - 45%: 44 x 730,000ñ x 12 thaùng</t>
  </si>
  <si>
    <t>Phụ cấp ưu đãi : 25 - 45%: 43 x 1.490.000ng x 12 tháng</t>
  </si>
  <si>
    <t xml:space="preserve">Phụ cấp thâaâm nieân giaùo vieân: </t>
  </si>
  <si>
    <t>Phụ cấp thâm niên giáo viên</t>
  </si>
  <si>
    <t>Vöôït  Khung : 2.7 x 730,000ñ x 12 thaùng</t>
  </si>
  <si>
    <t>Vượt Khung : 1.62 x1.490.000ng x 12 tháng</t>
  </si>
  <si>
    <t>Kieâm nhieäm : 0.85 x730,000ñ x 12 thaùng</t>
  </si>
  <si>
    <t>Kiêm nhiệm : 1.15 x1.490.000ng x 12 tháng</t>
  </si>
  <si>
    <t>Vöôït giôø :14509 giôø x 70.000 ñ/giôø</t>
  </si>
  <si>
    <t>Vượt giờ:3.600 giờ x 70.000ng/tháng</t>
  </si>
  <si>
    <t>Ñoäc haïi 3.5 x 730000*12thg</t>
  </si>
  <si>
    <t>Học bổng HS,SV</t>
  </si>
  <si>
    <t>Tiền thưởng</t>
  </si>
  <si>
    <t>doc hai</t>
  </si>
  <si>
    <t>Phúc lợi tập thể</t>
  </si>
  <si>
    <t>Tàu xe đi phép : 5 ngườix 1.500.000ng/người</t>
  </si>
  <si>
    <t>Tiền nước uống 49 người x 200.000đ/người</t>
  </si>
  <si>
    <t>Các khoản đóng góp</t>
  </si>
  <si>
    <t>BHXH 18%</t>
  </si>
  <si>
    <t>BHYT 3%</t>
  </si>
  <si>
    <t>Công đoàn 2%</t>
  </si>
  <si>
    <t>Thất nghiệp 1%</t>
  </si>
  <si>
    <t>Các khoản thanh toán khác</t>
  </si>
  <si>
    <t>Chi về hàng hóa, dịch vụ</t>
  </si>
  <si>
    <t>Thanh toán dịch vụ công cộng</t>
  </si>
  <si>
    <t>Thanh toán tiền điện</t>
  </si>
  <si>
    <t>Thanh toán tiền nước</t>
  </si>
  <si>
    <t>Thanh toán tiền nhiên liệu</t>
  </si>
  <si>
    <t>Vật tư văn phòng</t>
  </si>
  <si>
    <t>Khoán văn phòng phẩm</t>
  </si>
  <si>
    <t>Công cụ, dụng cụ VP</t>
  </si>
  <si>
    <t>Thông tin tuyên truyền liên lạc</t>
  </si>
  <si>
    <t>Cước phí điện thoại trong nước</t>
  </si>
  <si>
    <t>Cước phí bưu chính</t>
  </si>
  <si>
    <t>Sách, báo, tạp chí thư viện</t>
  </si>
  <si>
    <t>Sữa chữa</t>
  </si>
  <si>
    <t>Công tác phí</t>
  </si>
  <si>
    <t>Máy dạ dày</t>
  </si>
  <si>
    <t>Tàu xe</t>
  </si>
  <si>
    <t>Thông tiểu</t>
  </si>
  <si>
    <t>Phụ cấp công tác phí</t>
  </si>
  <si>
    <t>hđ tim</t>
  </si>
  <si>
    <t>Tiền ngủ</t>
  </si>
  <si>
    <t>May đo hô hấp</t>
  </si>
  <si>
    <t>Khoán công tác phí</t>
  </si>
  <si>
    <t>May xét nghiệm sinh hoácelisa</t>
  </si>
  <si>
    <t>Sửa chữa</t>
  </si>
  <si>
    <t>Máy in</t>
  </si>
  <si>
    <t>Máy photo</t>
  </si>
  <si>
    <t>Sửa chữa đường điện cấp thoát nước</t>
  </si>
  <si>
    <t xml:space="preserve">Sửa chữa các tài sản và công trình hạ tầng cơ sở khác </t>
  </si>
  <si>
    <t>Chi phí nghiệp vụ chuyên môn</t>
  </si>
  <si>
    <t>Chi mua hàng hóa vật tư dùng cho công tác chuyên môn</t>
  </si>
  <si>
    <t>Chi mua in ấn tài liệu dùng cho công tác chuyên môn</t>
  </si>
  <si>
    <t>Đồng phục, trang phục</t>
  </si>
  <si>
    <t>Bảo hộ lao động</t>
  </si>
  <si>
    <t>Sách, tài liệu chế độ dùng cho công tác chuyên môn</t>
  </si>
  <si>
    <t>Chi phí khác</t>
  </si>
  <si>
    <t>Các khoản chi khác</t>
  </si>
  <si>
    <t>Chi khác</t>
  </si>
  <si>
    <t>Bảo hiểm tài sản và phương tiện</t>
  </si>
  <si>
    <t>Chi hỗ trợ khác</t>
  </si>
  <si>
    <t>Chi tiếp khách</t>
  </si>
  <si>
    <t>Chi các khoản khác</t>
  </si>
  <si>
    <t>D</t>
  </si>
  <si>
    <t>Mua sắm tài sản</t>
  </si>
  <si>
    <t>Trang thiết bị kỹ thuật chuyên dụng</t>
  </si>
  <si>
    <t>Kinh phí không thực hiện tự chủ</t>
  </si>
  <si>
    <t>a.</t>
  </si>
  <si>
    <t>KP chi TX khác theo chỉ tiêu tuyển sinh</t>
  </si>
  <si>
    <t>Mua sắm tài sản vô hình</t>
  </si>
  <si>
    <t>Mua, bảo trì phần mềm công nghệ thông tin</t>
  </si>
  <si>
    <t>Mua sắm tài sản phục vụ cho công tác chuyên môn</t>
  </si>
  <si>
    <t>Tài sản và thiết bị văn phòng</t>
  </si>
  <si>
    <t>b.</t>
  </si>
  <si>
    <t xml:space="preserve">Trang thiết bị kỹ thuật chuyên môn </t>
  </si>
  <si>
    <t>II</t>
  </si>
  <si>
    <t>Dự toán chi nguồn thu được để lại</t>
  </si>
  <si>
    <t xml:space="preserve"> Số thu nộp ngân sách nhà nước</t>
  </si>
  <si>
    <t>Học phí</t>
  </si>
  <si>
    <t>Hoạt động dịch vụ</t>
  </si>
  <si>
    <t>Chi phí trực tiếp phục vụ công tác thu</t>
  </si>
  <si>
    <t>Chênh lệch thu, chi</t>
  </si>
  <si>
    <t>Trích 40% thực hiện CCTL</t>
  </si>
  <si>
    <t>Bổ sung nguồn kinh phí chi hoạt động thường xuyên</t>
  </si>
  <si>
    <t>( Kèm theo Quyết định số…../QĐ-CĐYT ngày ….tháng 01 năm 2024)</t>
  </si>
  <si>
    <t>Kinh phí mua sắm tài sản cho ngành xét nghiệm, y sỹ vật lý trị liệu phục hồi chức năng</t>
  </si>
  <si>
    <t>KT.HIỆU TRƯỞNG</t>
  </si>
  <si>
    <t>PHÓ HIỆU TRƯỞNG</t>
  </si>
  <si>
    <t>Người lập</t>
  </si>
  <si>
    <t>Lý Duy Hưng</t>
  </si>
  <si>
    <t>Tên thiết bị</t>
  </si>
  <si>
    <t>Đơn vị</t>
  </si>
  <si>
    <t>Số lượng</t>
  </si>
  <si>
    <t>Thành tiền</t>
  </si>
  <si>
    <t>Bộ xương người nam</t>
  </si>
  <si>
    <t>Cái</t>
  </si>
  <si>
    <t>Mô hình bộ xương người tháo rời</t>
  </si>
  <si>
    <t>Mô hình cắt dọc qua mũi, miệng, hầu</t>
  </si>
  <si>
    <t>Mô hình cắt đứng qua chậu hông nam</t>
  </si>
  <si>
    <t>Mô hình cắt đứng qua chậu hông nữ</t>
  </si>
  <si>
    <t>Mô hình cắt lớp đầu, mặt</t>
  </si>
  <si>
    <t>Mô hình châm cứu</t>
  </si>
  <si>
    <t>Mô hình cơ</t>
  </si>
  <si>
    <t>Mô hình cơ quan sinh dục nam</t>
  </si>
  <si>
    <t>Mô hình cơ quan sinh dục nữ</t>
  </si>
  <si>
    <t>Mô hình cơ thể bán thân + nội tạng (20 phần )</t>
  </si>
  <si>
    <t>Mô hình da</t>
  </si>
  <si>
    <t>Mô hình dạ dày</t>
  </si>
  <si>
    <t>Mô hình dây thần kinh và mạch máu trên mặt</t>
  </si>
  <si>
    <t>Mô hình gan</t>
  </si>
  <si>
    <t>Mô hình giải phẫu hệ cơ, xương khớp chi dưới</t>
  </si>
  <si>
    <t>Mô hình giải phẫu hệ cơ, xương khớp chi trên</t>
  </si>
  <si>
    <t>Mô hình giải phẫu hệ thần kinh</t>
  </si>
  <si>
    <t>Mô hình giải phẫu hệ tiết niệu</t>
  </si>
  <si>
    <t>Mô hình giải phẫu hệ tiêu hoá</t>
  </si>
  <si>
    <t>Mô hình giải phẫu hệ tuần hoàn</t>
  </si>
  <si>
    <t>Mô hình giải phẫu mũi, miệng hầu</t>
  </si>
  <si>
    <t>Mô hình giải phẫu toàn thân (phủ tạng có thể tháo rời, có 28 phần)</t>
  </si>
  <si>
    <t>Mô hình hệ hô hấp</t>
  </si>
  <si>
    <t>Mô hình hộp sọ</t>
  </si>
  <si>
    <t>Mô hình khung chậu nữ</t>
  </si>
  <si>
    <t>Mô hình mắt</t>
  </si>
  <si>
    <t>Mô hình não</t>
  </si>
  <si>
    <t>Mô hình nhau thai nhi</t>
  </si>
  <si>
    <t>Mô hình phát triển của phôi thai</t>
  </si>
  <si>
    <t>Mô hình phát triển của trứng và bào thai</t>
  </si>
  <si>
    <t>Mô hình phổi</t>
  </si>
  <si>
    <t>Mô hình răng</t>
  </si>
  <si>
    <t>Mô hình tai</t>
  </si>
  <si>
    <t>Mô hình tim</t>
  </si>
  <si>
    <t>Mô hình tử cung, vòi trứng</t>
  </si>
  <si>
    <t>Mô hình tuỷ sống</t>
  </si>
  <si>
    <t>Mô hình rửa dạ dày</t>
  </si>
  <si>
    <t>bộ</t>
  </si>
  <si>
    <t xml:space="preserve">Mô hình sơ sinh </t>
  </si>
  <si>
    <t>Chiếc</t>
  </si>
  <si>
    <t>Mô hình hồi sinh tim phổi</t>
  </si>
  <si>
    <t>Mô hình hệ cơ toàn thân</t>
  </si>
  <si>
    <t>Mô hình tiêm bắp, tĩnh mạch: cánh tay</t>
  </si>
  <si>
    <t>Mô hình tiêm mông</t>
  </si>
  <si>
    <t>Mô hình cơ thể bán thân hệ cơ</t>
  </si>
  <si>
    <t>Mô hình da luyện tập tiêm chich và châm cứu</t>
  </si>
  <si>
    <t>miếng</t>
  </si>
  <si>
    <t>Mô hình đa năng (nghe tim phổi, đo huyết áp, đếm mạch)</t>
  </si>
  <si>
    <t>Bàn làm bột bó xương</t>
  </si>
  <si>
    <t>cái</t>
  </si>
  <si>
    <t>Máy đo huyết áp</t>
  </si>
  <si>
    <t>Nhiệt kế điện tử</t>
  </si>
  <si>
    <t>Máy đo SpO2</t>
  </si>
  <si>
    <t>Tai nghe</t>
  </si>
  <si>
    <t>Bộ dụng cụ khám sản phụ khoa</t>
  </si>
  <si>
    <t>Bộ dụng cụ tiểu phẫu</t>
  </si>
  <si>
    <t>Máy điện châm</t>
  </si>
  <si>
    <t>Bàn khám sản khoa</t>
  </si>
  <si>
    <t>Bàn đá có lavabo</t>
  </si>
  <si>
    <t>Micropipette 1000µl</t>
  </si>
  <si>
    <t xml:space="preserve">  Chiếc</t>
  </si>
  <si>
    <t>Micropipette 100-1000µl</t>
  </si>
  <si>
    <t>Micropipette 20-200 µl</t>
  </si>
  <si>
    <t xml:space="preserve"> Chiếc</t>
  </si>
  <si>
    <t>Micropipette 5-50 µl</t>
  </si>
  <si>
    <t>Máy nước tiểu 10 TS Clinitek</t>
  </si>
  <si>
    <t>Máy xét nghiệm đông máu bán tự động</t>
  </si>
  <si>
    <t>Máy ủ nhiệt khô nhỏ</t>
  </si>
  <si>
    <t>Máy hóa sinh tự động BA400</t>
  </si>
  <si>
    <t>Đơn giá ước tính</t>
  </si>
  <si>
    <t>Tổng cộng</t>
  </si>
  <si>
    <t>DANH MỤC TRANG THIẾT BỊ GÓI MUA SẮM Y SỸ VÀ XÉT NGHIỆM NĂM 2024 ( NGUỒN KTX)</t>
  </si>
  <si>
    <t>Máy điện tim (12 kênh, tự động phân tích kết quả)</t>
  </si>
  <si>
    <t xml:space="preserve">        Nguyễn Thị Ngọc Dung</t>
  </si>
  <si>
    <t>Danh sách đính kèm</t>
  </si>
  <si>
    <t>Đà Lạt, ngày 03 tháng 01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</si>
</sst>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.##._);_(* \(#.##.\);_(* &quot;-&quot;??_);_(@_ⴆ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I Times"/>
    </font>
    <font>
      <b/>
      <u/>
      <sz val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3"/>
      <color rgb="FFFF0000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Fill="1"/>
    <xf numFmtId="43" fontId="2" fillId="0" borderId="0" xfId="1" applyFont="1" applyFill="1"/>
    <xf numFmtId="164" fontId="2" fillId="0" borderId="0" xfId="1" applyNumberFormat="1" applyFont="1" applyFill="1"/>
    <xf numFmtId="0" fontId="2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3" fontId="3" fillId="0" borderId="5" xfId="0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/>
    <xf numFmtId="3" fontId="3" fillId="0" borderId="6" xfId="0" applyNumberFormat="1" applyFont="1" applyFill="1" applyBorder="1"/>
    <xf numFmtId="3" fontId="3" fillId="0" borderId="0" xfId="0" applyNumberFormat="1" applyFont="1" applyFill="1" applyBorder="1"/>
    <xf numFmtId="0" fontId="2" fillId="0" borderId="6" xfId="0" applyFont="1" applyFill="1" applyBorder="1" applyAlignment="1">
      <alignment horizontal="center"/>
    </xf>
    <xf numFmtId="3" fontId="2" fillId="0" borderId="6" xfId="0" applyNumberFormat="1" applyFont="1" applyFill="1" applyBorder="1"/>
    <xf numFmtId="3" fontId="2" fillId="0" borderId="0" xfId="0" applyNumberFormat="1" applyFont="1" applyFill="1" applyBorder="1"/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3" fontId="3" fillId="0" borderId="6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wrapText="1"/>
    </xf>
    <xf numFmtId="3" fontId="2" fillId="0" borderId="0" xfId="0" applyNumberFormat="1" applyFont="1" applyFill="1"/>
    <xf numFmtId="0" fontId="2" fillId="0" borderId="6" xfId="0" quotePrefix="1" applyFont="1" applyFill="1" applyBorder="1" applyAlignment="1">
      <alignment horizontal="center"/>
    </xf>
    <xf numFmtId="0" fontId="2" fillId="0" borderId="6" xfId="0" applyFont="1" applyFill="1" applyBorder="1" applyAlignment="1">
      <alignment wrapText="1"/>
    </xf>
    <xf numFmtId="0" fontId="3" fillId="0" borderId="6" xfId="0" quotePrefix="1" applyFont="1" applyFill="1" applyBorder="1" applyAlignment="1">
      <alignment horizontal="center"/>
    </xf>
    <xf numFmtId="0" fontId="4" fillId="0" borderId="6" xfId="0" applyFont="1" applyFill="1" applyBorder="1"/>
    <xf numFmtId="165" fontId="2" fillId="0" borderId="0" xfId="1" applyNumberFormat="1" applyFont="1" applyFill="1"/>
    <xf numFmtId="0" fontId="3" fillId="0" borderId="0" xfId="0" applyFont="1" applyFill="1"/>
    <xf numFmtId="164" fontId="3" fillId="0" borderId="0" xfId="1" applyNumberFormat="1" applyFont="1" applyFill="1"/>
    <xf numFmtId="43" fontId="3" fillId="0" borderId="0" xfId="1" applyFont="1" applyFill="1"/>
    <xf numFmtId="0" fontId="3" fillId="0" borderId="6" xfId="0" quotePrefix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/>
    <xf numFmtId="0" fontId="6" fillId="0" borderId="6" xfId="0" quotePrefix="1" applyFont="1" applyFill="1" applyBorder="1" applyAlignment="1">
      <alignment horizontal="center"/>
    </xf>
    <xf numFmtId="3" fontId="6" fillId="0" borderId="6" xfId="0" applyNumberFormat="1" applyFont="1" applyFill="1" applyBorder="1"/>
    <xf numFmtId="3" fontId="7" fillId="0" borderId="6" xfId="0" applyNumberFormat="1" applyFont="1" applyFill="1" applyBorder="1"/>
    <xf numFmtId="3" fontId="6" fillId="0" borderId="0" xfId="0" applyNumberFormat="1" applyFont="1" applyFill="1" applyBorder="1"/>
    <xf numFmtId="0" fontId="7" fillId="0" borderId="6" xfId="0" quotePrefix="1" applyFont="1" applyFill="1" applyBorder="1" applyAlignment="1">
      <alignment horizontal="center"/>
    </xf>
    <xf numFmtId="3" fontId="7" fillId="0" borderId="0" xfId="0" applyNumberFormat="1" applyFont="1" applyFill="1" applyBorder="1"/>
    <xf numFmtId="0" fontId="2" fillId="0" borderId="0" xfId="0" applyFont="1" applyFill="1" applyBorder="1"/>
    <xf numFmtId="0" fontId="8" fillId="0" borderId="0" xfId="0" applyFont="1" applyFill="1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/>
    <xf numFmtId="0" fontId="2" fillId="0" borderId="0" xfId="0" applyFont="1" applyFill="1" applyAlignment="1">
      <alignment horizontal="center"/>
    </xf>
    <xf numFmtId="0" fontId="10" fillId="0" borderId="0" xfId="0" applyFont="1" applyFill="1"/>
    <xf numFmtId="0" fontId="12" fillId="0" borderId="0" xfId="0" applyFont="1" applyFill="1"/>
    <xf numFmtId="0" fontId="11" fillId="0" borderId="0" xfId="0" applyFont="1" applyFill="1"/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 wrapText="1"/>
    </xf>
    <xf numFmtId="3" fontId="12" fillId="0" borderId="6" xfId="0" applyNumberFormat="1" applyFont="1" applyFill="1" applyBorder="1"/>
    <xf numFmtId="0" fontId="12" fillId="0" borderId="6" xfId="0" applyFont="1" applyFill="1" applyBorder="1"/>
    <xf numFmtId="0" fontId="13" fillId="0" borderId="6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/>
    <xf numFmtId="3" fontId="14" fillId="0" borderId="6" xfId="0" applyNumberFormat="1" applyFont="1" applyFill="1" applyBorder="1"/>
    <xf numFmtId="3" fontId="15" fillId="0" borderId="6" xfId="0" applyNumberFormat="1" applyFont="1" applyFill="1" applyBorder="1"/>
    <xf numFmtId="3" fontId="12" fillId="0" borderId="0" xfId="0" applyNumberFormat="1" applyFont="1" applyFill="1"/>
    <xf numFmtId="0" fontId="16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3" fontId="12" fillId="0" borderId="6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6" xfId="0" applyFont="1" applyFill="1" applyBorder="1"/>
    <xf numFmtId="0" fontId="14" fillId="0" borderId="6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center" vertical="center"/>
    </xf>
    <xf numFmtId="3" fontId="14" fillId="0" borderId="6" xfId="0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3" fontId="17" fillId="0" borderId="0" xfId="0" applyNumberFormat="1" applyFont="1" applyFill="1" applyBorder="1"/>
    <xf numFmtId="3" fontId="9" fillId="0" borderId="0" xfId="0" applyNumberFormat="1" applyFont="1" applyFill="1" applyBorder="1"/>
    <xf numFmtId="164" fontId="9" fillId="0" borderId="0" xfId="1" applyNumberFormat="1" applyFont="1" applyFill="1"/>
    <xf numFmtId="43" fontId="9" fillId="0" borderId="0" xfId="1" applyFont="1" applyFill="1"/>
    <xf numFmtId="0" fontId="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7"/>
  <sheetViews>
    <sheetView topLeftCell="A96" workbookViewId="0">
      <selection activeCell="U119" sqref="U119"/>
    </sheetView>
  </sheetViews>
  <sheetFormatPr defaultRowHeight="12.75"/>
  <cols>
    <col min="1" max="1" width="9.140625" style="1"/>
    <col min="2" max="2" width="6.7109375" style="1" hidden="1" customWidth="1"/>
    <col min="3" max="3" width="0" style="1" hidden="1" customWidth="1"/>
    <col min="4" max="4" width="48.28515625" style="1" customWidth="1"/>
    <col min="5" max="5" width="10.140625" style="1" hidden="1" customWidth="1"/>
    <col min="6" max="6" width="11.5703125" style="1" hidden="1" customWidth="1"/>
    <col min="7" max="7" width="9.140625" style="1" hidden="1" customWidth="1"/>
    <col min="8" max="8" width="15.140625" style="1" customWidth="1"/>
    <col min="9" max="9" width="19.28515625" style="1" hidden="1" customWidth="1"/>
    <col min="10" max="10" width="23.85546875" style="1" hidden="1" customWidth="1"/>
    <col min="11" max="11" width="14.28515625" style="3" hidden="1" customWidth="1"/>
    <col min="12" max="12" width="49.85546875" style="1" hidden="1" customWidth="1"/>
    <col min="13" max="13" width="11.5703125" style="2" hidden="1" customWidth="1"/>
    <col min="14" max="16" width="0" style="1" hidden="1" customWidth="1"/>
    <col min="17" max="17" width="3" style="1" hidden="1" customWidth="1"/>
    <col min="18" max="18" width="15.42578125" style="1" customWidth="1"/>
    <col min="19" max="19" width="15.140625" style="2" customWidth="1"/>
    <col min="20" max="21" width="9.140625" style="1"/>
    <col min="22" max="22" width="19.28515625" style="1" customWidth="1"/>
    <col min="23" max="24" width="9.140625" style="1"/>
    <col min="25" max="25" width="18.42578125" style="1" customWidth="1"/>
    <col min="26" max="16384" width="9.140625" style="1"/>
  </cols>
  <sheetData>
    <row r="1" spans="1:18">
      <c r="A1" s="1" t="s">
        <v>0</v>
      </c>
      <c r="F1" s="88" t="s">
        <v>1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pans="1:18">
      <c r="A2" s="1" t="s">
        <v>2</v>
      </c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4" spans="1:18">
      <c r="A4" s="89" t="s">
        <v>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</row>
    <row r="5" spans="1:18">
      <c r="A5" s="89" t="s">
        <v>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18">
      <c r="A6" s="89" t="s">
        <v>5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</row>
    <row r="7" spans="1:18">
      <c r="A7" s="91" t="s">
        <v>127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</row>
    <row r="8" spans="1:18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18">
      <c r="G9" s="90"/>
      <c r="H9" s="90"/>
      <c r="I9" s="4"/>
      <c r="R9" s="56" t="s">
        <v>6</v>
      </c>
    </row>
    <row r="10" spans="1:18">
      <c r="A10" s="5" t="s">
        <v>7</v>
      </c>
      <c r="B10" s="5" t="s">
        <v>8</v>
      </c>
      <c r="C10" s="5" t="s">
        <v>9</v>
      </c>
      <c r="D10" s="5" t="s">
        <v>10</v>
      </c>
      <c r="E10" s="93" t="s">
        <v>11</v>
      </c>
      <c r="F10" s="95" t="s">
        <v>12</v>
      </c>
      <c r="G10" s="96"/>
      <c r="H10" s="93" t="s">
        <v>13</v>
      </c>
      <c r="I10" s="4"/>
      <c r="R10" s="97" t="s">
        <v>14</v>
      </c>
    </row>
    <row r="11" spans="1:18">
      <c r="A11" s="6"/>
      <c r="B11" s="6"/>
      <c r="C11" s="6"/>
      <c r="D11" s="6"/>
      <c r="E11" s="94"/>
      <c r="F11" s="7" t="s">
        <v>15</v>
      </c>
      <c r="G11" s="7" t="s">
        <v>16</v>
      </c>
      <c r="H11" s="94"/>
      <c r="I11" s="4"/>
      <c r="R11" s="98"/>
    </row>
    <row r="12" spans="1:18">
      <c r="A12" s="8" t="s">
        <v>17</v>
      </c>
      <c r="B12" s="8" t="s">
        <v>18</v>
      </c>
      <c r="C12" s="8" t="s">
        <v>19</v>
      </c>
      <c r="D12" s="8">
        <v>1</v>
      </c>
      <c r="E12" s="8">
        <v>2</v>
      </c>
      <c r="F12" s="8">
        <v>3</v>
      </c>
      <c r="G12" s="8">
        <v>4</v>
      </c>
      <c r="H12" s="8">
        <v>2</v>
      </c>
      <c r="I12" s="4"/>
      <c r="R12" s="9"/>
    </row>
    <row r="13" spans="1:18">
      <c r="A13" s="8"/>
      <c r="B13" s="8"/>
      <c r="C13" s="8"/>
      <c r="D13" s="7" t="s">
        <v>20</v>
      </c>
      <c r="E13" s="8"/>
      <c r="F13" s="8"/>
      <c r="G13" s="8"/>
      <c r="H13" s="10">
        <f>H14+H19</f>
        <v>12344.924064000001</v>
      </c>
      <c r="I13" s="4"/>
      <c r="R13" s="9"/>
    </row>
    <row r="14" spans="1:18">
      <c r="A14" s="11" t="s">
        <v>21</v>
      </c>
      <c r="B14" s="11"/>
      <c r="C14" s="11">
        <v>501</v>
      </c>
      <c r="D14" s="12" t="s">
        <v>22</v>
      </c>
      <c r="E14" s="13" t="e">
        <f>E16+#REF!+#REF!</f>
        <v>#REF!</v>
      </c>
      <c r="F14" s="13">
        <v>6389</v>
      </c>
      <c r="G14" s="13" t="e">
        <f>G16+#REF!+#REF!</f>
        <v>#REF!</v>
      </c>
      <c r="H14" s="13">
        <f>H15</f>
        <v>4250</v>
      </c>
      <c r="I14" s="14"/>
      <c r="R14" s="9"/>
    </row>
    <row r="15" spans="1:18">
      <c r="A15" s="15" t="s">
        <v>17</v>
      </c>
      <c r="B15" s="15"/>
      <c r="C15" s="15"/>
      <c r="D15" s="12" t="s">
        <v>23</v>
      </c>
      <c r="E15" s="13">
        <f>E16</f>
        <v>2597</v>
      </c>
      <c r="F15" s="13">
        <v>6200</v>
      </c>
      <c r="G15" s="13">
        <f>G16</f>
        <v>6200</v>
      </c>
      <c r="H15" s="13">
        <f>H16</f>
        <v>4250</v>
      </c>
      <c r="I15" s="14"/>
      <c r="R15" s="9"/>
    </row>
    <row r="16" spans="1:18">
      <c r="A16" s="15">
        <v>1</v>
      </c>
      <c r="B16" s="15"/>
      <c r="C16" s="15"/>
      <c r="D16" s="12" t="s">
        <v>24</v>
      </c>
      <c r="E16" s="13">
        <f>SUM(E17:E18)</f>
        <v>2597</v>
      </c>
      <c r="F16" s="13">
        <v>6200</v>
      </c>
      <c r="G16" s="13">
        <f>SUM(G17:G18)</f>
        <v>6200</v>
      </c>
      <c r="H16" s="13">
        <f>SUM(H17:H18)</f>
        <v>4250</v>
      </c>
      <c r="I16" s="14"/>
      <c r="R16" s="9"/>
    </row>
    <row r="17" spans="1:18">
      <c r="A17" s="15"/>
      <c r="B17" s="15"/>
      <c r="C17" s="15"/>
      <c r="D17" s="9" t="s">
        <v>25</v>
      </c>
      <c r="E17" s="16">
        <v>97</v>
      </c>
      <c r="F17" s="16">
        <v>5120</v>
      </c>
      <c r="G17" s="16">
        <v>5400</v>
      </c>
      <c r="H17" s="16">
        <v>4100</v>
      </c>
      <c r="I17" s="17"/>
      <c r="R17" s="9"/>
    </row>
    <row r="18" spans="1:18">
      <c r="A18" s="15"/>
      <c r="B18" s="15"/>
      <c r="C18" s="15"/>
      <c r="D18" s="9" t="s">
        <v>26</v>
      </c>
      <c r="E18" s="16">
        <v>2500</v>
      </c>
      <c r="F18" s="16">
        <v>1020</v>
      </c>
      <c r="G18" s="16">
        <v>800</v>
      </c>
      <c r="H18" s="16">
        <v>150</v>
      </c>
      <c r="I18" s="17"/>
      <c r="R18" s="9"/>
    </row>
    <row r="19" spans="1:18" ht="25.5">
      <c r="A19" s="18" t="s">
        <v>18</v>
      </c>
      <c r="B19" s="18"/>
      <c r="C19" s="18"/>
      <c r="D19" s="19" t="s">
        <v>27</v>
      </c>
      <c r="E19" s="20" t="e">
        <f>E22+#REF!</f>
        <v>#REF!</v>
      </c>
      <c r="F19" s="20">
        <v>6914</v>
      </c>
      <c r="G19" s="20" t="e">
        <f>G22+#REF!</f>
        <v>#REF!</v>
      </c>
      <c r="H19" s="20">
        <f>H22+H88</f>
        <v>8094.9240640000007</v>
      </c>
      <c r="I19" s="21"/>
      <c r="J19" s="22"/>
      <c r="K19" s="23"/>
      <c r="L19" s="22"/>
      <c r="M19" s="24"/>
      <c r="N19" s="22"/>
      <c r="O19" s="22"/>
      <c r="P19" s="22"/>
      <c r="Q19" s="22"/>
      <c r="R19" s="25"/>
    </row>
    <row r="20" spans="1:18">
      <c r="A20" s="11"/>
      <c r="B20" s="11"/>
      <c r="C20" s="11"/>
      <c r="D20" s="26" t="s">
        <v>28</v>
      </c>
      <c r="E20" s="13"/>
      <c r="F20" s="13">
        <v>0</v>
      </c>
      <c r="G20" s="13"/>
      <c r="H20" s="13">
        <f>H22+H88+H103</f>
        <v>12527.524064000001</v>
      </c>
      <c r="I20" s="14"/>
      <c r="R20" s="9"/>
    </row>
    <row r="21" spans="1:18" hidden="1">
      <c r="A21" s="11" t="s">
        <v>21</v>
      </c>
      <c r="B21" s="27"/>
      <c r="C21" s="27"/>
      <c r="I21" s="14">
        <f>H19-7612</f>
        <v>482.92406400000073</v>
      </c>
      <c r="K21" s="3">
        <v>7730</v>
      </c>
      <c r="R21" s="9"/>
    </row>
    <row r="22" spans="1:18">
      <c r="A22" s="11">
        <v>1</v>
      </c>
      <c r="B22" s="11"/>
      <c r="C22" s="11"/>
      <c r="D22" s="28" t="s">
        <v>29</v>
      </c>
      <c r="E22" s="13">
        <f>E23+E50</f>
        <v>1627</v>
      </c>
      <c r="F22" s="13">
        <v>6688</v>
      </c>
      <c r="G22" s="13" t="e">
        <f>G23+G50</f>
        <v>#REF!</v>
      </c>
      <c r="H22" s="13">
        <f>SUM(H23,H50,H79,H85,)</f>
        <v>5942.9240640000007</v>
      </c>
      <c r="I22" s="14"/>
      <c r="K22" s="3">
        <f>H24+H27+H29+H39+H40+H43+H48+H51+H55+H58+H62+H67+H72+H80+H86</f>
        <v>5942.9240640000007</v>
      </c>
      <c r="R22" s="9"/>
    </row>
    <row r="23" spans="1:18">
      <c r="A23" s="11" t="s">
        <v>17</v>
      </c>
      <c r="B23" s="11"/>
      <c r="C23" s="11"/>
      <c r="D23" s="28" t="s">
        <v>30</v>
      </c>
      <c r="E23" s="13">
        <f>E24+E27+E29+E38+E39+E40+E43+E48</f>
        <v>1572</v>
      </c>
      <c r="F23" s="13">
        <v>3822.9757656000002</v>
      </c>
      <c r="G23" s="13" t="e">
        <f>G24+G27+G29+G38+G39+G40+G43+G48</f>
        <v>#REF!</v>
      </c>
      <c r="H23" s="13">
        <f>H24+H27+H29+H38+H39+H40+H43+H48</f>
        <v>4720.9240640000007</v>
      </c>
      <c r="I23" s="14">
        <v>4572</v>
      </c>
      <c r="J23" s="29" t="e">
        <f>H23+H50+H62+#REF!</f>
        <v>#REF!</v>
      </c>
      <c r="R23" s="9"/>
    </row>
    <row r="24" spans="1:18">
      <c r="A24" s="11">
        <v>6000</v>
      </c>
      <c r="B24" s="11"/>
      <c r="C24" s="11"/>
      <c r="D24" s="28" t="s">
        <v>31</v>
      </c>
      <c r="E24" s="13">
        <v>979</v>
      </c>
      <c r="F24" s="13">
        <v>1813.5828000000001</v>
      </c>
      <c r="G24" s="13">
        <v>979</v>
      </c>
      <c r="H24" s="13">
        <f>SUM(H25:H26)</f>
        <v>2823.252</v>
      </c>
      <c r="I24" s="14"/>
      <c r="K24" s="3">
        <f>H24+H27+H29+H43</f>
        <v>4675.3240640000004</v>
      </c>
      <c r="R24" s="9"/>
    </row>
    <row r="25" spans="1:18">
      <c r="A25" s="30">
        <v>6001</v>
      </c>
      <c r="B25" s="30"/>
      <c r="C25" s="30"/>
      <c r="D25" s="31" t="s">
        <v>32</v>
      </c>
      <c r="E25" s="16"/>
      <c r="F25" s="16">
        <v>1508.5596</v>
      </c>
      <c r="G25" s="16">
        <v>1350</v>
      </c>
      <c r="H25" s="16">
        <f>157.9*1490000*12/1000000</f>
        <v>2823.252</v>
      </c>
      <c r="I25" s="17"/>
      <c r="K25" s="3">
        <f>173.83-3</f>
        <v>170.83</v>
      </c>
      <c r="R25" s="9"/>
    </row>
    <row r="26" spans="1:18" hidden="1">
      <c r="A26" s="30"/>
      <c r="B26" s="30"/>
      <c r="C26" s="30"/>
      <c r="D26" s="31"/>
      <c r="E26" s="16"/>
      <c r="F26" s="16"/>
      <c r="G26" s="16"/>
      <c r="H26" s="16"/>
      <c r="I26" s="17"/>
      <c r="R26" s="9"/>
    </row>
    <row r="27" spans="1:18" hidden="1">
      <c r="A27" s="32">
        <v>6050</v>
      </c>
      <c r="B27" s="32"/>
      <c r="C27" s="32"/>
      <c r="D27" s="28" t="s">
        <v>33</v>
      </c>
      <c r="E27" s="13">
        <v>19</v>
      </c>
      <c r="F27" s="13">
        <v>48</v>
      </c>
      <c r="G27" s="13">
        <f>G28</f>
        <v>88</v>
      </c>
      <c r="H27" s="13">
        <f>H28</f>
        <v>0</v>
      </c>
      <c r="I27" s="14"/>
      <c r="J27" s="29">
        <f>H24+H29</f>
        <v>3881.2936</v>
      </c>
      <c r="R27" s="9"/>
    </row>
    <row r="28" spans="1:18" hidden="1">
      <c r="A28" s="30">
        <v>6051</v>
      </c>
      <c r="B28" s="30"/>
      <c r="C28" s="30"/>
      <c r="D28" s="31" t="s">
        <v>34</v>
      </c>
      <c r="E28" s="16"/>
      <c r="F28" s="16">
        <v>48</v>
      </c>
      <c r="G28" s="16">
        <v>88</v>
      </c>
      <c r="H28" s="16"/>
      <c r="I28" s="17"/>
      <c r="P28" s="1">
        <f>52-4</f>
        <v>48</v>
      </c>
      <c r="R28" s="9"/>
    </row>
    <row r="29" spans="1:18">
      <c r="A29" s="32">
        <v>6100</v>
      </c>
      <c r="B29" s="32"/>
      <c r="C29" s="32"/>
      <c r="D29" s="28" t="s">
        <v>35</v>
      </c>
      <c r="E29" s="13">
        <v>293</v>
      </c>
      <c r="F29" s="13">
        <v>1383.37572</v>
      </c>
      <c r="G29" s="13">
        <f>SUM(G30:G37)</f>
        <v>1691</v>
      </c>
      <c r="H29" s="13">
        <f>SUM(H30:H37)</f>
        <v>1058.0416</v>
      </c>
      <c r="I29" s="14"/>
      <c r="L29" s="33" t="s">
        <v>36</v>
      </c>
      <c r="M29" s="2">
        <v>730000</v>
      </c>
      <c r="N29" s="1">
        <v>12</v>
      </c>
      <c r="R29" s="9"/>
    </row>
    <row r="30" spans="1:18">
      <c r="A30" s="15">
        <v>6101</v>
      </c>
      <c r="B30" s="15"/>
      <c r="C30" s="15"/>
      <c r="D30" s="31" t="s">
        <v>37</v>
      </c>
      <c r="E30" s="16"/>
      <c r="F30" s="16">
        <v>85.848000000000013</v>
      </c>
      <c r="G30" s="16">
        <v>86</v>
      </c>
      <c r="H30" s="16">
        <f>5.5*1490000*12/1000000</f>
        <v>98.34</v>
      </c>
      <c r="I30" s="17"/>
      <c r="L30" s="33" t="s">
        <v>38</v>
      </c>
      <c r="M30" s="2">
        <v>730000</v>
      </c>
      <c r="N30" s="1">
        <v>12</v>
      </c>
      <c r="R30" s="9"/>
    </row>
    <row r="31" spans="1:18">
      <c r="A31" s="15">
        <v>6102</v>
      </c>
      <c r="B31" s="15"/>
      <c r="C31" s="15"/>
      <c r="D31" s="31" t="s">
        <v>39</v>
      </c>
      <c r="E31" s="16"/>
      <c r="F31" s="16">
        <v>57.816000000000003</v>
      </c>
      <c r="G31" s="16">
        <v>58</v>
      </c>
      <c r="H31" s="16">
        <f>4.1*1490000*12/1000000</f>
        <v>73.307999999999979</v>
      </c>
      <c r="I31" s="17"/>
      <c r="L31" s="33" t="s">
        <v>40</v>
      </c>
      <c r="M31" s="2">
        <v>730000</v>
      </c>
      <c r="N31" s="1">
        <v>12</v>
      </c>
      <c r="R31" s="9"/>
    </row>
    <row r="32" spans="1:18">
      <c r="A32" s="15">
        <v>6113</v>
      </c>
      <c r="B32" s="15"/>
      <c r="C32" s="15"/>
      <c r="D32" s="31" t="s">
        <v>41</v>
      </c>
      <c r="E32" s="16"/>
      <c r="F32" s="16">
        <v>1.752</v>
      </c>
      <c r="G32" s="16">
        <v>2</v>
      </c>
      <c r="H32" s="16">
        <f>1.95*1490000*12/1000000</f>
        <v>34.866</v>
      </c>
      <c r="I32" s="17"/>
      <c r="L32" s="33" t="s">
        <v>42</v>
      </c>
      <c r="M32" s="2">
        <v>730000</v>
      </c>
      <c r="N32" s="1">
        <v>12</v>
      </c>
      <c r="R32" s="9"/>
    </row>
    <row r="33" spans="1:18">
      <c r="A33" s="15">
        <v>6112</v>
      </c>
      <c r="B33" s="15"/>
      <c r="C33" s="15"/>
      <c r="D33" s="31" t="s">
        <v>43</v>
      </c>
      <c r="E33" s="16"/>
      <c r="F33" s="16">
        <v>420</v>
      </c>
      <c r="G33" s="16">
        <v>391</v>
      </c>
      <c r="H33" s="16">
        <v>300</v>
      </c>
      <c r="I33" s="17"/>
      <c r="L33" s="33" t="s">
        <v>44</v>
      </c>
      <c r="M33" s="2">
        <v>730000</v>
      </c>
      <c r="N33" s="1">
        <v>12</v>
      </c>
      <c r="R33" s="9"/>
    </row>
    <row r="34" spans="1:18">
      <c r="A34" s="15">
        <v>6115</v>
      </c>
      <c r="B34" s="15"/>
      <c r="C34" s="15"/>
      <c r="D34" s="31" t="s">
        <v>45</v>
      </c>
      <c r="E34" s="16"/>
      <c r="F34" s="16">
        <v>156</v>
      </c>
      <c r="G34" s="16">
        <v>150</v>
      </c>
      <c r="H34" s="16">
        <v>250</v>
      </c>
      <c r="I34" s="17"/>
      <c r="L34" s="33" t="s">
        <v>46</v>
      </c>
      <c r="M34" s="2">
        <v>730000</v>
      </c>
      <c r="N34" s="1">
        <v>12</v>
      </c>
      <c r="R34" s="9"/>
    </row>
    <row r="35" spans="1:18">
      <c r="A35" s="15">
        <v>6117</v>
      </c>
      <c r="B35" s="15"/>
      <c r="C35" s="15"/>
      <c r="D35" s="31" t="s">
        <v>47</v>
      </c>
      <c r="E35" s="16"/>
      <c r="F35" s="16">
        <v>30.15192</v>
      </c>
      <c r="G35" s="16">
        <v>22</v>
      </c>
      <c r="H35" s="16">
        <f>1.62*1490000*12/1000000</f>
        <v>28.965599999999998</v>
      </c>
      <c r="I35" s="17"/>
      <c r="L35" s="33" t="s">
        <v>48</v>
      </c>
      <c r="M35" s="2">
        <v>730000</v>
      </c>
      <c r="N35" s="1">
        <v>12</v>
      </c>
      <c r="R35" s="9"/>
    </row>
    <row r="36" spans="1:18">
      <c r="A36" s="15">
        <v>6117</v>
      </c>
      <c r="B36" s="15"/>
      <c r="C36" s="15"/>
      <c r="D36" s="31" t="s">
        <v>49</v>
      </c>
      <c r="E36" s="16"/>
      <c r="F36" s="16">
        <v>7.4459999999999997</v>
      </c>
      <c r="G36" s="16">
        <v>7</v>
      </c>
      <c r="H36" s="16">
        <f>1.15*1490000*12/1000000</f>
        <v>20.561999999999998</v>
      </c>
      <c r="I36" s="17"/>
      <c r="K36" s="3">
        <v>2474</v>
      </c>
      <c r="L36" s="33" t="s">
        <v>50</v>
      </c>
      <c r="M36" s="2">
        <v>730000</v>
      </c>
      <c r="N36" s="1">
        <v>12</v>
      </c>
      <c r="R36" s="9"/>
    </row>
    <row r="37" spans="1:18">
      <c r="A37" s="15">
        <v>6105</v>
      </c>
      <c r="B37" s="15"/>
      <c r="C37" s="15"/>
      <c r="D37" s="31" t="s">
        <v>51</v>
      </c>
      <c r="E37" s="16"/>
      <c r="F37" s="16">
        <v>594.36180000000002</v>
      </c>
      <c r="G37" s="16">
        <v>975</v>
      </c>
      <c r="H37" s="16">
        <v>252</v>
      </c>
      <c r="I37" s="17"/>
      <c r="K37" s="3">
        <f>6332</f>
        <v>6332</v>
      </c>
      <c r="L37" s="33" t="s">
        <v>52</v>
      </c>
      <c r="M37" s="2">
        <v>730000</v>
      </c>
      <c r="N37" s="1">
        <v>12</v>
      </c>
      <c r="R37" s="9"/>
    </row>
    <row r="38" spans="1:18">
      <c r="A38" s="11">
        <v>6150</v>
      </c>
      <c r="B38" s="11"/>
      <c r="C38" s="11"/>
      <c r="D38" s="28" t="s">
        <v>53</v>
      </c>
      <c r="E38" s="13"/>
      <c r="F38" s="13">
        <v>0</v>
      </c>
      <c r="G38" s="13"/>
      <c r="H38" s="13">
        <v>0</v>
      </c>
      <c r="I38" s="14"/>
      <c r="K38" s="3" t="e">
        <f>#REF!*70000</f>
        <v>#REF!</v>
      </c>
      <c r="R38" s="9"/>
    </row>
    <row r="39" spans="1:18">
      <c r="A39" s="11">
        <v>6200</v>
      </c>
      <c r="B39" s="11"/>
      <c r="C39" s="11"/>
      <c r="D39" s="12" t="s">
        <v>54</v>
      </c>
      <c r="E39" s="13">
        <v>15</v>
      </c>
      <c r="F39" s="13">
        <v>50</v>
      </c>
      <c r="G39" s="13" t="e">
        <f>SUM(#REF!)</f>
        <v>#REF!</v>
      </c>
      <c r="H39" s="13">
        <f>H40</f>
        <v>17.8</v>
      </c>
      <c r="I39" s="14"/>
      <c r="K39" s="3" t="s">
        <v>55</v>
      </c>
      <c r="R39" s="9"/>
    </row>
    <row r="40" spans="1:18">
      <c r="A40" s="11">
        <v>6250</v>
      </c>
      <c r="B40" s="11"/>
      <c r="C40" s="11"/>
      <c r="D40" s="12" t="s">
        <v>56</v>
      </c>
      <c r="E40" s="13">
        <v>22</v>
      </c>
      <c r="F40" s="13">
        <v>25</v>
      </c>
      <c r="G40" s="13">
        <v>22</v>
      </c>
      <c r="H40" s="13">
        <f>H41+H42</f>
        <v>17.8</v>
      </c>
      <c r="I40" s="14"/>
      <c r="K40" s="3">
        <f>3.5*730000*12</f>
        <v>30660000</v>
      </c>
      <c r="R40" s="9"/>
    </row>
    <row r="41" spans="1:18">
      <c r="A41" s="15">
        <v>6253</v>
      </c>
      <c r="B41" s="15"/>
      <c r="C41" s="15"/>
      <c r="D41" s="9" t="s">
        <v>57</v>
      </c>
      <c r="E41" s="16"/>
      <c r="F41" s="16">
        <v>12</v>
      </c>
      <c r="G41" s="16">
        <v>12</v>
      </c>
      <c r="H41" s="16">
        <v>8</v>
      </c>
      <c r="I41" s="17"/>
      <c r="K41" s="3">
        <v>55000000</v>
      </c>
      <c r="R41" s="9"/>
    </row>
    <row r="42" spans="1:18">
      <c r="A42" s="15">
        <v>6257</v>
      </c>
      <c r="B42" s="15"/>
      <c r="C42" s="15"/>
      <c r="D42" s="9" t="s">
        <v>58</v>
      </c>
      <c r="E42" s="16"/>
      <c r="F42" s="16">
        <v>13</v>
      </c>
      <c r="G42" s="16">
        <v>13</v>
      </c>
      <c r="H42" s="16">
        <f>49*200000/1000000</f>
        <v>9.8000000000000007</v>
      </c>
      <c r="I42" s="17"/>
      <c r="K42" s="3">
        <f>K41/12</f>
        <v>4583333.333333333</v>
      </c>
      <c r="R42" s="9"/>
    </row>
    <row r="43" spans="1:18">
      <c r="A43" s="11">
        <v>6300</v>
      </c>
      <c r="B43" s="11"/>
      <c r="C43" s="11"/>
      <c r="D43" s="12" t="s">
        <v>59</v>
      </c>
      <c r="E43" s="13">
        <v>240</v>
      </c>
      <c r="F43" s="13">
        <v>503.01724560000008</v>
      </c>
      <c r="G43" s="13">
        <f>SUM(G44:G47)</f>
        <v>637</v>
      </c>
      <c r="H43" s="13">
        <f>SUM(H44:H47)</f>
        <v>794.03046399999994</v>
      </c>
      <c r="I43" s="14"/>
      <c r="K43" s="2">
        <f>K42/730000</f>
        <v>6.2785388127853876</v>
      </c>
      <c r="R43" s="9"/>
    </row>
    <row r="44" spans="1:18">
      <c r="A44" s="30">
        <v>6301</v>
      </c>
      <c r="B44" s="30"/>
      <c r="C44" s="30"/>
      <c r="D44" s="9" t="s">
        <v>60</v>
      </c>
      <c r="E44" s="16"/>
      <c r="F44" s="16">
        <v>374.10144240000005</v>
      </c>
      <c r="G44" s="16">
        <v>480</v>
      </c>
      <c r="H44" s="16">
        <f>(H25+H26+H28+H30+H31+H32+H35+H36+H34)*18%</f>
        <v>599.27284799999995</v>
      </c>
      <c r="I44" s="17"/>
      <c r="R44" s="9"/>
    </row>
    <row r="45" spans="1:18">
      <c r="A45" s="30">
        <v>6302</v>
      </c>
      <c r="B45" s="30"/>
      <c r="C45" s="30"/>
      <c r="D45" s="9" t="s">
        <v>61</v>
      </c>
      <c r="E45" s="16"/>
      <c r="F45" s="16">
        <v>66.017901600000002</v>
      </c>
      <c r="G45" s="16">
        <v>76</v>
      </c>
      <c r="H45" s="16">
        <f>(H25+H26+H28+H30+H31+H32+H35+H36+H34)*3%</f>
        <v>99.878807999999992</v>
      </c>
      <c r="I45" s="17"/>
      <c r="K45" s="3">
        <f>6.28*730000*12</f>
        <v>55012800</v>
      </c>
      <c r="R45" s="9"/>
    </row>
    <row r="46" spans="1:18">
      <c r="A46" s="30">
        <v>6303</v>
      </c>
      <c r="B46" s="30"/>
      <c r="C46" s="30"/>
      <c r="D46" s="9" t="s">
        <v>62</v>
      </c>
      <c r="E46" s="16"/>
      <c r="F46" s="16">
        <v>40.891934400000004</v>
      </c>
      <c r="G46" s="16">
        <v>55</v>
      </c>
      <c r="H46" s="16">
        <f>(H25+H26+H28+H30+H31+H32+H35+H36)*2%</f>
        <v>61.585872000000002</v>
      </c>
      <c r="I46" s="17"/>
      <c r="R46" s="9"/>
    </row>
    <row r="47" spans="1:18">
      <c r="A47" s="30">
        <v>6304</v>
      </c>
      <c r="B47" s="30"/>
      <c r="C47" s="30"/>
      <c r="D47" s="9" t="s">
        <v>63</v>
      </c>
      <c r="E47" s="16"/>
      <c r="F47" s="16">
        <v>22.005967200000001</v>
      </c>
      <c r="G47" s="16">
        <v>26</v>
      </c>
      <c r="H47" s="16">
        <f>(H25+H26+H28+H30+H31+H32+H35+H36+H34)*1%</f>
        <v>33.292935999999997</v>
      </c>
      <c r="I47" s="17"/>
      <c r="R47" s="9"/>
    </row>
    <row r="48" spans="1:18">
      <c r="A48" s="32">
        <v>6400</v>
      </c>
      <c r="B48" s="32"/>
      <c r="C48" s="32"/>
      <c r="D48" s="12" t="s">
        <v>64</v>
      </c>
      <c r="E48" s="13">
        <v>4</v>
      </c>
      <c r="F48" s="13">
        <v>0</v>
      </c>
      <c r="G48" s="13">
        <f>G49</f>
        <v>0</v>
      </c>
      <c r="H48" s="13">
        <f>H49</f>
        <v>10</v>
      </c>
      <c r="I48" s="14"/>
      <c r="R48" s="9"/>
    </row>
    <row r="49" spans="1:18">
      <c r="A49" s="30">
        <v>6449</v>
      </c>
      <c r="B49" s="30"/>
      <c r="C49" s="30"/>
      <c r="D49" s="9" t="s">
        <v>64</v>
      </c>
      <c r="E49" s="16"/>
      <c r="F49" s="16"/>
      <c r="G49" s="16"/>
      <c r="H49" s="16">
        <v>10</v>
      </c>
      <c r="I49" s="17"/>
      <c r="R49" s="9"/>
    </row>
    <row r="50" spans="1:18">
      <c r="A50" s="11" t="s">
        <v>18</v>
      </c>
      <c r="B50" s="30"/>
      <c r="C50" s="30"/>
      <c r="D50" s="12" t="s">
        <v>65</v>
      </c>
      <c r="E50" s="13">
        <f>E51+E55+E58+E62</f>
        <v>55</v>
      </c>
      <c r="F50" s="13">
        <v>2590</v>
      </c>
      <c r="G50" s="13" t="e">
        <f>G51+G55+G58+G62+G72+G79</f>
        <v>#REF!</v>
      </c>
      <c r="H50" s="13">
        <f>SUM(H51,H55,H58,H62,H67,H72)</f>
        <v>1013</v>
      </c>
      <c r="I50" s="14">
        <f>H50-1530</f>
        <v>-517</v>
      </c>
      <c r="R50" s="9"/>
    </row>
    <row r="51" spans="1:18">
      <c r="A51" s="11">
        <v>6500</v>
      </c>
      <c r="B51" s="30"/>
      <c r="C51" s="30"/>
      <c r="D51" s="12" t="s">
        <v>66</v>
      </c>
      <c r="E51" s="13">
        <v>8</v>
      </c>
      <c r="F51" s="13">
        <v>123</v>
      </c>
      <c r="G51" s="13">
        <f>SUM(G52:G54)</f>
        <v>193</v>
      </c>
      <c r="H51" s="13">
        <f>SUM(H52:H54)</f>
        <v>275</v>
      </c>
      <c r="I51" s="14"/>
      <c r="R51" s="9"/>
    </row>
    <row r="52" spans="1:18">
      <c r="A52" s="15">
        <v>6501</v>
      </c>
      <c r="B52" s="30"/>
      <c r="C52" s="30"/>
      <c r="D52" s="9" t="s">
        <v>67</v>
      </c>
      <c r="E52" s="13"/>
      <c r="F52" s="13">
        <v>48</v>
      </c>
      <c r="G52" s="13">
        <v>42</v>
      </c>
      <c r="H52" s="16">
        <v>110</v>
      </c>
      <c r="I52" s="17"/>
      <c r="R52" s="9"/>
    </row>
    <row r="53" spans="1:18">
      <c r="A53" s="15">
        <v>6502</v>
      </c>
      <c r="B53" s="30"/>
      <c r="C53" s="30"/>
      <c r="D53" s="9" t="s">
        <v>68</v>
      </c>
      <c r="E53" s="16"/>
      <c r="F53" s="16">
        <v>45</v>
      </c>
      <c r="G53" s="16">
        <v>61</v>
      </c>
      <c r="H53" s="16">
        <v>85</v>
      </c>
      <c r="I53" s="17"/>
      <c r="R53" s="9"/>
    </row>
    <row r="54" spans="1:18">
      <c r="A54" s="15">
        <v>6503</v>
      </c>
      <c r="B54" s="30"/>
      <c r="C54" s="30"/>
      <c r="D54" s="9" t="s">
        <v>69</v>
      </c>
      <c r="E54" s="16"/>
      <c r="F54" s="16">
        <v>30</v>
      </c>
      <c r="G54" s="16">
        <v>90</v>
      </c>
      <c r="H54" s="16">
        <v>80</v>
      </c>
      <c r="I54" s="17"/>
      <c r="R54" s="9"/>
    </row>
    <row r="55" spans="1:18">
      <c r="A55" s="32">
        <v>6550</v>
      </c>
      <c r="B55" s="32"/>
      <c r="C55" s="32"/>
      <c r="D55" s="28" t="s">
        <v>70</v>
      </c>
      <c r="E55" s="13">
        <v>18</v>
      </c>
      <c r="F55" s="13">
        <v>50</v>
      </c>
      <c r="G55" s="13">
        <f>G56</f>
        <v>36</v>
      </c>
      <c r="H55" s="13">
        <f>SUM(H56:H57)</f>
        <v>93</v>
      </c>
      <c r="I55" s="14"/>
      <c r="K55" s="3">
        <f>12000*22700</f>
        <v>272400000</v>
      </c>
      <c r="R55" s="9"/>
    </row>
    <row r="56" spans="1:18">
      <c r="A56" s="30">
        <v>6551</v>
      </c>
      <c r="B56" s="30"/>
      <c r="C56" s="30"/>
      <c r="D56" s="31" t="s">
        <v>71</v>
      </c>
      <c r="E56" s="16"/>
      <c r="F56" s="16">
        <v>50</v>
      </c>
      <c r="G56" s="16">
        <v>36</v>
      </c>
      <c r="H56" s="16">
        <v>43</v>
      </c>
      <c r="I56" s="17"/>
      <c r="R56" s="9"/>
    </row>
    <row r="57" spans="1:18">
      <c r="A57" s="30">
        <v>6652</v>
      </c>
      <c r="B57" s="30"/>
      <c r="C57" s="30"/>
      <c r="D57" s="31" t="s">
        <v>72</v>
      </c>
      <c r="E57" s="16"/>
      <c r="F57" s="16"/>
      <c r="G57" s="16"/>
      <c r="H57" s="16">
        <v>50</v>
      </c>
      <c r="I57" s="17"/>
      <c r="R57" s="9"/>
    </row>
    <row r="58" spans="1:18">
      <c r="A58" s="32">
        <v>6600</v>
      </c>
      <c r="B58" s="32"/>
      <c r="C58" s="32"/>
      <c r="D58" s="28" t="s">
        <v>73</v>
      </c>
      <c r="E58" s="13">
        <v>13</v>
      </c>
      <c r="F58" s="13">
        <v>100</v>
      </c>
      <c r="G58" s="13">
        <f>SUM(G59:G61)</f>
        <v>57</v>
      </c>
      <c r="H58" s="13">
        <f>SUM(H59:H61)</f>
        <v>67</v>
      </c>
      <c r="I58" s="14"/>
      <c r="R58" s="9"/>
    </row>
    <row r="59" spans="1:18">
      <c r="A59" s="30">
        <v>6601</v>
      </c>
      <c r="B59" s="30"/>
      <c r="C59" s="30"/>
      <c r="D59" s="31" t="s">
        <v>74</v>
      </c>
      <c r="E59" s="16"/>
      <c r="F59" s="16">
        <v>25</v>
      </c>
      <c r="G59" s="16">
        <v>23</v>
      </c>
      <c r="H59" s="16">
        <v>25</v>
      </c>
      <c r="I59" s="17"/>
      <c r="K59" s="3">
        <v>6082</v>
      </c>
      <c r="R59" s="9"/>
    </row>
    <row r="60" spans="1:18">
      <c r="A60" s="30">
        <v>6603</v>
      </c>
      <c r="B60" s="30"/>
      <c r="C60" s="30"/>
      <c r="D60" s="31" t="s">
        <v>75</v>
      </c>
      <c r="E60" s="16"/>
      <c r="F60" s="16">
        <v>5</v>
      </c>
      <c r="G60" s="16">
        <v>4</v>
      </c>
      <c r="H60" s="16">
        <v>40</v>
      </c>
      <c r="I60" s="17"/>
      <c r="K60" s="3">
        <v>1530</v>
      </c>
      <c r="R60" s="9"/>
    </row>
    <row r="61" spans="1:18">
      <c r="A61" s="30">
        <v>6612</v>
      </c>
      <c r="B61" s="30"/>
      <c r="C61" s="30"/>
      <c r="D61" s="31" t="s">
        <v>76</v>
      </c>
      <c r="E61" s="16"/>
      <c r="F61" s="16">
        <v>50</v>
      </c>
      <c r="G61" s="16">
        <v>30</v>
      </c>
      <c r="H61" s="16">
        <v>2</v>
      </c>
      <c r="I61" s="17"/>
      <c r="J61" s="1" t="s">
        <v>77</v>
      </c>
      <c r="K61" s="3">
        <f>600+350</f>
        <v>950</v>
      </c>
      <c r="R61" s="9"/>
    </row>
    <row r="62" spans="1:18">
      <c r="A62" s="32">
        <v>6700</v>
      </c>
      <c r="B62" s="32"/>
      <c r="C62" s="32"/>
      <c r="D62" s="28" t="s">
        <v>78</v>
      </c>
      <c r="E62" s="13">
        <v>16</v>
      </c>
      <c r="F62" s="13">
        <v>215</v>
      </c>
      <c r="G62" s="13">
        <f>G63+G64+G65+G66</f>
        <v>145</v>
      </c>
      <c r="H62" s="13">
        <f>H63+H64+H65+H66</f>
        <v>120</v>
      </c>
      <c r="I62" s="14"/>
      <c r="J62" s="1" t="s">
        <v>79</v>
      </c>
      <c r="K62" s="34">
        <v>43.2</v>
      </c>
      <c r="R62" s="9"/>
    </row>
    <row r="63" spans="1:18">
      <c r="A63" s="30">
        <v>6701</v>
      </c>
      <c r="B63" s="32"/>
      <c r="C63" s="32"/>
      <c r="D63" s="31" t="s">
        <v>80</v>
      </c>
      <c r="E63" s="13"/>
      <c r="F63" s="13">
        <v>100</v>
      </c>
      <c r="G63" s="13">
        <v>50</v>
      </c>
      <c r="H63" s="16">
        <v>40</v>
      </c>
      <c r="I63" s="17"/>
      <c r="J63" s="1" t="s">
        <v>81</v>
      </c>
      <c r="K63" s="34">
        <v>24.8</v>
      </c>
      <c r="R63" s="9"/>
    </row>
    <row r="64" spans="1:18">
      <c r="A64" s="30">
        <v>6702</v>
      </c>
      <c r="B64" s="32"/>
      <c r="C64" s="32"/>
      <c r="D64" s="31" t="s">
        <v>82</v>
      </c>
      <c r="E64" s="13"/>
      <c r="F64" s="13">
        <v>50</v>
      </c>
      <c r="G64" s="13">
        <v>40</v>
      </c>
      <c r="H64" s="16">
        <v>45</v>
      </c>
      <c r="I64" s="17"/>
      <c r="J64" s="1" t="s">
        <v>83</v>
      </c>
      <c r="K64" s="34">
        <v>99.6</v>
      </c>
      <c r="R64" s="9"/>
    </row>
    <row r="65" spans="1:19">
      <c r="A65" s="30">
        <v>6703</v>
      </c>
      <c r="B65" s="32"/>
      <c r="C65" s="32"/>
      <c r="D65" s="31" t="s">
        <v>84</v>
      </c>
      <c r="E65" s="13"/>
      <c r="F65" s="13">
        <v>50</v>
      </c>
      <c r="G65" s="13">
        <v>40</v>
      </c>
      <c r="H65" s="16">
        <v>15</v>
      </c>
      <c r="I65" s="17"/>
      <c r="J65" s="1" t="s">
        <v>85</v>
      </c>
      <c r="K65" s="3">
        <v>94</v>
      </c>
      <c r="R65" s="9"/>
    </row>
    <row r="66" spans="1:19">
      <c r="A66" s="30">
        <v>6704</v>
      </c>
      <c r="B66" s="30"/>
      <c r="C66" s="30"/>
      <c r="D66" s="31" t="s">
        <v>86</v>
      </c>
      <c r="E66" s="16"/>
      <c r="F66" s="16">
        <v>15</v>
      </c>
      <c r="G66" s="16">
        <v>15</v>
      </c>
      <c r="H66" s="16">
        <v>20</v>
      </c>
      <c r="I66" s="17"/>
      <c r="J66" s="1" t="s">
        <v>87</v>
      </c>
      <c r="K66" s="3">
        <v>276</v>
      </c>
      <c r="R66" s="9"/>
    </row>
    <row r="67" spans="1:19" s="35" customFormat="1">
      <c r="A67" s="32">
        <v>6900</v>
      </c>
      <c r="B67" s="32"/>
      <c r="C67" s="32"/>
      <c r="D67" s="28" t="s">
        <v>88</v>
      </c>
      <c r="E67" s="13"/>
      <c r="F67" s="13"/>
      <c r="G67" s="13">
        <f>SUM(G68:G71)</f>
        <v>758</v>
      </c>
      <c r="H67" s="13">
        <f>SUM(H68:H71)</f>
        <v>80</v>
      </c>
      <c r="I67" s="14"/>
      <c r="K67" s="36"/>
      <c r="M67" s="37"/>
      <c r="R67" s="12"/>
      <c r="S67" s="37"/>
    </row>
    <row r="68" spans="1:19">
      <c r="A68" s="30">
        <v>6912</v>
      </c>
      <c r="B68" s="30"/>
      <c r="C68" s="30"/>
      <c r="D68" s="31" t="s">
        <v>89</v>
      </c>
      <c r="E68" s="16"/>
      <c r="F68" s="16"/>
      <c r="G68" s="16">
        <v>15</v>
      </c>
      <c r="H68" s="16">
        <v>20</v>
      </c>
      <c r="I68" s="17"/>
      <c r="R68" s="9"/>
    </row>
    <row r="69" spans="1:19">
      <c r="A69" s="30">
        <v>6913</v>
      </c>
      <c r="B69" s="30"/>
      <c r="C69" s="30"/>
      <c r="D69" s="31" t="s">
        <v>90</v>
      </c>
      <c r="E69" s="16"/>
      <c r="F69" s="16"/>
      <c r="G69" s="16">
        <v>25</v>
      </c>
      <c r="H69" s="16">
        <v>20</v>
      </c>
      <c r="I69" s="17"/>
      <c r="R69" s="9"/>
    </row>
    <row r="70" spans="1:19">
      <c r="A70" s="30">
        <v>6921</v>
      </c>
      <c r="B70" s="30"/>
      <c r="C70" s="30"/>
      <c r="D70" s="31" t="s">
        <v>91</v>
      </c>
      <c r="E70" s="16"/>
      <c r="F70" s="16"/>
      <c r="G70" s="16">
        <v>15</v>
      </c>
      <c r="H70" s="16">
        <v>20</v>
      </c>
      <c r="I70" s="17"/>
      <c r="R70" s="9"/>
    </row>
    <row r="71" spans="1:19">
      <c r="A71" s="30">
        <v>6949</v>
      </c>
      <c r="B71" s="30"/>
      <c r="C71" s="30"/>
      <c r="D71" s="31" t="s">
        <v>92</v>
      </c>
      <c r="E71" s="16"/>
      <c r="F71" s="16"/>
      <c r="G71" s="16">
        <v>703</v>
      </c>
      <c r="H71" s="16">
        <v>20</v>
      </c>
      <c r="I71" s="17"/>
      <c r="K71" s="3">
        <f>1530-950</f>
        <v>580</v>
      </c>
      <c r="R71" s="9"/>
    </row>
    <row r="72" spans="1:19">
      <c r="A72" s="32">
        <v>7000</v>
      </c>
      <c r="B72" s="32"/>
      <c r="C72" s="32"/>
      <c r="D72" s="28" t="s">
        <v>93</v>
      </c>
      <c r="E72" s="13"/>
      <c r="F72" s="13">
        <v>1282</v>
      </c>
      <c r="G72" s="13">
        <f>G73+G78+G74+G75+G76+G77</f>
        <v>400</v>
      </c>
      <c r="H72" s="13">
        <f>H73+H78+H74+H75+H76+H77</f>
        <v>378</v>
      </c>
      <c r="I72" s="14"/>
      <c r="K72" s="3">
        <v>950</v>
      </c>
      <c r="R72" s="9"/>
    </row>
    <row r="73" spans="1:19">
      <c r="A73" s="30">
        <v>7001</v>
      </c>
      <c r="B73" s="30"/>
      <c r="C73" s="30"/>
      <c r="D73" s="31" t="s">
        <v>94</v>
      </c>
      <c r="E73" s="16"/>
      <c r="F73" s="16">
        <v>600</v>
      </c>
      <c r="G73" s="16">
        <v>180</v>
      </c>
      <c r="H73" s="16">
        <v>200</v>
      </c>
      <c r="I73" s="17"/>
      <c r="R73" s="9"/>
    </row>
    <row r="74" spans="1:19">
      <c r="A74" s="30">
        <v>7003</v>
      </c>
      <c r="B74" s="30"/>
      <c r="C74" s="30"/>
      <c r="D74" s="31" t="s">
        <v>95</v>
      </c>
      <c r="E74" s="16"/>
      <c r="F74" s="16">
        <v>20</v>
      </c>
      <c r="G74" s="16">
        <v>20</v>
      </c>
      <c r="H74" s="16">
        <v>50</v>
      </c>
      <c r="I74" s="17"/>
      <c r="R74" s="9"/>
    </row>
    <row r="75" spans="1:19">
      <c r="A75" s="30">
        <v>7004</v>
      </c>
      <c r="B75" s="30"/>
      <c r="C75" s="30"/>
      <c r="D75" s="31" t="s">
        <v>96</v>
      </c>
      <c r="E75" s="16"/>
      <c r="F75" s="16">
        <v>100</v>
      </c>
      <c r="G75" s="16">
        <v>70</v>
      </c>
      <c r="H75" s="16">
        <v>10</v>
      </c>
      <c r="I75" s="17"/>
      <c r="R75" s="9"/>
    </row>
    <row r="76" spans="1:19">
      <c r="A76" s="30">
        <v>7005</v>
      </c>
      <c r="B76" s="30"/>
      <c r="C76" s="30"/>
      <c r="D76" s="31" t="s">
        <v>97</v>
      </c>
      <c r="E76" s="16"/>
      <c r="F76" s="16">
        <v>12</v>
      </c>
      <c r="G76" s="16">
        <v>70</v>
      </c>
      <c r="H76" s="16">
        <v>50</v>
      </c>
      <c r="I76" s="17"/>
      <c r="R76" s="9"/>
    </row>
    <row r="77" spans="1:19">
      <c r="A77" s="30">
        <v>7012</v>
      </c>
      <c r="B77" s="30"/>
      <c r="C77" s="30"/>
      <c r="D77" s="31" t="s">
        <v>98</v>
      </c>
      <c r="E77" s="16"/>
      <c r="F77" s="16">
        <v>50</v>
      </c>
      <c r="G77" s="16">
        <v>30</v>
      </c>
      <c r="H77" s="16">
        <v>48</v>
      </c>
      <c r="I77" s="17"/>
      <c r="R77" s="9"/>
    </row>
    <row r="78" spans="1:19">
      <c r="A78" s="30">
        <v>7049</v>
      </c>
      <c r="B78" s="30"/>
      <c r="C78" s="30"/>
      <c r="D78" s="31" t="s">
        <v>99</v>
      </c>
      <c r="E78" s="16"/>
      <c r="F78" s="16">
        <v>500</v>
      </c>
      <c r="G78" s="16">
        <v>30</v>
      </c>
      <c r="H78" s="16">
        <v>20</v>
      </c>
      <c r="I78" s="17"/>
      <c r="R78" s="9"/>
    </row>
    <row r="79" spans="1:19">
      <c r="A79" s="11" t="s">
        <v>19</v>
      </c>
      <c r="B79" s="30"/>
      <c r="C79" s="30"/>
      <c r="D79" s="28" t="s">
        <v>100</v>
      </c>
      <c r="E79" s="16"/>
      <c r="F79" s="16">
        <v>820</v>
      </c>
      <c r="G79" s="13" t="e">
        <f>G80</f>
        <v>#REF!</v>
      </c>
      <c r="H79" s="13">
        <f>H80</f>
        <v>129</v>
      </c>
      <c r="I79" s="14"/>
      <c r="R79" s="9"/>
    </row>
    <row r="80" spans="1:19">
      <c r="A80" s="32">
        <v>7750</v>
      </c>
      <c r="B80" s="32"/>
      <c r="C80" s="32"/>
      <c r="D80" s="28" t="s">
        <v>101</v>
      </c>
      <c r="E80" s="16"/>
      <c r="F80" s="16">
        <v>820</v>
      </c>
      <c r="G80" s="13" t="e">
        <f>#REF!+G81+G82+G83+G84</f>
        <v>#REF!</v>
      </c>
      <c r="H80" s="13">
        <f>SUM(H81:H84)</f>
        <v>129</v>
      </c>
      <c r="I80" s="14"/>
      <c r="R80" s="9"/>
    </row>
    <row r="81" spans="1:19">
      <c r="A81" s="30">
        <v>7757</v>
      </c>
      <c r="B81" s="32"/>
      <c r="C81" s="32"/>
      <c r="D81" s="31" t="s">
        <v>102</v>
      </c>
      <c r="E81" s="16"/>
      <c r="F81" s="16">
        <v>20</v>
      </c>
      <c r="G81" s="16">
        <v>12</v>
      </c>
      <c r="H81" s="16">
        <v>20</v>
      </c>
      <c r="I81" s="17"/>
      <c r="R81" s="9"/>
    </row>
    <row r="82" spans="1:19">
      <c r="A82" s="30">
        <v>7758</v>
      </c>
      <c r="B82" s="32"/>
      <c r="C82" s="32"/>
      <c r="D82" s="31" t="s">
        <v>103</v>
      </c>
      <c r="E82" s="16"/>
      <c r="F82" s="16">
        <v>200</v>
      </c>
      <c r="G82" s="16">
        <v>40</v>
      </c>
      <c r="H82" s="16">
        <v>20</v>
      </c>
      <c r="I82" s="17"/>
      <c r="R82" s="9"/>
    </row>
    <row r="83" spans="1:19">
      <c r="A83" s="30">
        <v>7761</v>
      </c>
      <c r="B83" s="32"/>
      <c r="C83" s="32"/>
      <c r="D83" s="31" t="s">
        <v>104</v>
      </c>
      <c r="E83" s="16"/>
      <c r="F83" s="16">
        <v>100</v>
      </c>
      <c r="G83" s="16">
        <v>110</v>
      </c>
      <c r="H83" s="16">
        <v>50</v>
      </c>
      <c r="I83" s="17"/>
      <c r="R83" s="9"/>
    </row>
    <row r="84" spans="1:19">
      <c r="A84" s="30">
        <v>7799</v>
      </c>
      <c r="B84" s="32"/>
      <c r="C84" s="32"/>
      <c r="D84" s="31" t="s">
        <v>105</v>
      </c>
      <c r="E84" s="16"/>
      <c r="F84" s="16">
        <v>500</v>
      </c>
      <c r="G84" s="16">
        <v>100</v>
      </c>
      <c r="H84" s="16">
        <f>50-11</f>
        <v>39</v>
      </c>
      <c r="I84" s="17"/>
      <c r="R84" s="9"/>
    </row>
    <row r="85" spans="1:19">
      <c r="A85" s="11" t="s">
        <v>106</v>
      </c>
      <c r="B85" s="32"/>
      <c r="C85" s="32"/>
      <c r="D85" s="28" t="s">
        <v>107</v>
      </c>
      <c r="E85" s="16"/>
      <c r="F85" s="16"/>
      <c r="G85" s="16"/>
      <c r="H85" s="16">
        <f>H86</f>
        <v>80</v>
      </c>
      <c r="I85" s="17"/>
      <c r="R85" s="9"/>
    </row>
    <row r="86" spans="1:19" s="35" customFormat="1">
      <c r="A86" s="32">
        <v>6950</v>
      </c>
      <c r="B86" s="32"/>
      <c r="C86" s="32"/>
      <c r="D86" s="28" t="s">
        <v>107</v>
      </c>
      <c r="E86" s="13"/>
      <c r="F86" s="13"/>
      <c r="G86" s="13">
        <f>SUM(G87)</f>
        <v>310</v>
      </c>
      <c r="H86" s="13">
        <f>SUM(H87:H87)</f>
        <v>80</v>
      </c>
      <c r="I86" s="14"/>
      <c r="K86" s="36"/>
      <c r="M86" s="37"/>
      <c r="R86" s="12"/>
      <c r="S86" s="37"/>
    </row>
    <row r="87" spans="1:19">
      <c r="A87" s="30"/>
      <c r="B87" s="32"/>
      <c r="C87" s="32"/>
      <c r="D87" s="31" t="s">
        <v>108</v>
      </c>
      <c r="E87" s="16"/>
      <c r="F87" s="16"/>
      <c r="G87" s="16">
        <v>310</v>
      </c>
      <c r="H87" s="16">
        <v>80</v>
      </c>
      <c r="I87" s="17">
        <f>320-265</f>
        <v>55</v>
      </c>
      <c r="K87" s="3">
        <f>580-290</f>
        <v>290</v>
      </c>
      <c r="R87" s="9"/>
    </row>
    <row r="88" spans="1:19">
      <c r="A88" s="32">
        <v>2</v>
      </c>
      <c r="B88" s="32"/>
      <c r="C88" s="32"/>
      <c r="D88" s="28" t="s">
        <v>109</v>
      </c>
      <c r="E88" s="16"/>
      <c r="F88" s="16"/>
      <c r="G88" s="16"/>
      <c r="H88" s="13">
        <f>H89+H100</f>
        <v>2152</v>
      </c>
      <c r="I88" s="17"/>
      <c r="R88" s="9"/>
    </row>
    <row r="89" spans="1:19">
      <c r="A89" s="32" t="s">
        <v>110</v>
      </c>
      <c r="B89" s="32"/>
      <c r="C89" s="32"/>
      <c r="D89" s="28" t="s">
        <v>111</v>
      </c>
      <c r="E89" s="16"/>
      <c r="F89" s="16"/>
      <c r="G89" s="16"/>
      <c r="H89" s="13">
        <f>H92+H98+H96+H90</f>
        <v>652</v>
      </c>
      <c r="I89" s="17"/>
      <c r="R89" s="9"/>
    </row>
    <row r="90" spans="1:19">
      <c r="A90" s="32">
        <v>6900</v>
      </c>
      <c r="B90" s="32"/>
      <c r="C90" s="32"/>
      <c r="D90" s="28" t="s">
        <v>88</v>
      </c>
      <c r="E90" s="16"/>
      <c r="F90" s="16"/>
      <c r="G90" s="16"/>
      <c r="H90" s="13">
        <f>H91</f>
        <v>212</v>
      </c>
      <c r="I90" s="17"/>
      <c r="R90" s="9"/>
    </row>
    <row r="91" spans="1:19">
      <c r="A91" s="30">
        <v>6949</v>
      </c>
      <c r="B91" s="30"/>
      <c r="C91" s="30"/>
      <c r="D91" s="31" t="s">
        <v>92</v>
      </c>
      <c r="E91" s="16"/>
      <c r="F91" s="16"/>
      <c r="G91" s="16"/>
      <c r="H91" s="16">
        <v>212</v>
      </c>
      <c r="I91" s="17"/>
      <c r="R91" s="9"/>
    </row>
    <row r="92" spans="1:19">
      <c r="A92" s="32">
        <v>7000</v>
      </c>
      <c r="B92" s="32"/>
      <c r="C92" s="32"/>
      <c r="D92" s="28" t="s">
        <v>93</v>
      </c>
      <c r="E92" s="16"/>
      <c r="F92" s="16"/>
      <c r="G92" s="16"/>
      <c r="H92" s="13">
        <f>SUM(H93:H95)</f>
        <v>290</v>
      </c>
      <c r="I92" s="17"/>
      <c r="R92" s="9"/>
    </row>
    <row r="93" spans="1:19">
      <c r="A93" s="30">
        <v>7001</v>
      </c>
      <c r="B93" s="30"/>
      <c r="C93" s="30"/>
      <c r="D93" s="31" t="s">
        <v>94</v>
      </c>
      <c r="E93" s="16"/>
      <c r="F93" s="16"/>
      <c r="G93" s="16"/>
      <c r="H93" s="16">
        <v>180</v>
      </c>
      <c r="I93" s="17"/>
      <c r="R93" s="9"/>
    </row>
    <row r="94" spans="1:19">
      <c r="A94" s="30">
        <v>7003</v>
      </c>
      <c r="B94" s="30"/>
      <c r="C94" s="30"/>
      <c r="D94" s="31" t="s">
        <v>95</v>
      </c>
      <c r="E94" s="16"/>
      <c r="F94" s="16"/>
      <c r="G94" s="16"/>
      <c r="H94" s="16">
        <v>60</v>
      </c>
      <c r="I94" s="17"/>
      <c r="R94" s="9"/>
    </row>
    <row r="95" spans="1:19">
      <c r="A95" s="30">
        <v>7049</v>
      </c>
      <c r="B95" s="30"/>
      <c r="C95" s="30"/>
      <c r="D95" s="31" t="s">
        <v>99</v>
      </c>
      <c r="E95" s="16"/>
      <c r="F95" s="16">
        <v>500</v>
      </c>
      <c r="G95" s="16">
        <v>30</v>
      </c>
      <c r="H95" s="16">
        <v>50</v>
      </c>
      <c r="I95" s="17"/>
      <c r="R95" s="9"/>
    </row>
    <row r="96" spans="1:19">
      <c r="A96" s="32">
        <v>7050</v>
      </c>
      <c r="B96" s="32"/>
      <c r="C96" s="32"/>
      <c r="D96" s="28" t="s">
        <v>112</v>
      </c>
      <c r="E96" s="13"/>
      <c r="F96" s="13"/>
      <c r="G96" s="13"/>
      <c r="H96" s="13">
        <f>H97</f>
        <v>100</v>
      </c>
      <c r="I96" s="17"/>
      <c r="R96" s="9"/>
    </row>
    <row r="97" spans="1:18">
      <c r="A97" s="30">
        <v>7053</v>
      </c>
      <c r="B97" s="30"/>
      <c r="C97" s="30"/>
      <c r="D97" s="31" t="s">
        <v>113</v>
      </c>
      <c r="E97" s="16"/>
      <c r="F97" s="16"/>
      <c r="G97" s="16"/>
      <c r="H97" s="16">
        <v>100</v>
      </c>
      <c r="I97" s="17"/>
      <c r="R97" s="9"/>
    </row>
    <row r="98" spans="1:18">
      <c r="A98" s="32">
        <v>6950</v>
      </c>
      <c r="B98" s="32"/>
      <c r="C98" s="32"/>
      <c r="D98" s="28" t="s">
        <v>114</v>
      </c>
      <c r="E98" s="13"/>
      <c r="F98" s="13"/>
      <c r="G98" s="13">
        <f>SUM(G99)</f>
        <v>310</v>
      </c>
      <c r="H98" s="13">
        <f>SUM(H99:H99)</f>
        <v>50</v>
      </c>
      <c r="I98" s="17"/>
      <c r="R98" s="9"/>
    </row>
    <row r="99" spans="1:18">
      <c r="A99" s="30">
        <v>6955</v>
      </c>
      <c r="B99" s="32"/>
      <c r="C99" s="32"/>
      <c r="D99" s="31" t="s">
        <v>115</v>
      </c>
      <c r="E99" s="16"/>
      <c r="F99" s="16"/>
      <c r="G99" s="16">
        <v>310</v>
      </c>
      <c r="H99" s="16">
        <v>50</v>
      </c>
      <c r="I99" s="17"/>
      <c r="R99" s="9"/>
    </row>
    <row r="100" spans="1:18" ht="25.5">
      <c r="A100" s="38" t="s">
        <v>116</v>
      </c>
      <c r="B100" s="38"/>
      <c r="C100" s="38"/>
      <c r="D100" s="39" t="s">
        <v>128</v>
      </c>
      <c r="E100" s="20"/>
      <c r="F100" s="20">
        <v>16</v>
      </c>
      <c r="G100" s="20">
        <v>26</v>
      </c>
      <c r="H100" s="20">
        <f>H101</f>
        <v>1500</v>
      </c>
      <c r="I100" s="21"/>
      <c r="J100" s="22"/>
      <c r="K100" s="23"/>
      <c r="L100" s="22"/>
      <c r="M100" s="24"/>
      <c r="N100" s="22"/>
      <c r="O100" s="22"/>
      <c r="P100" s="22"/>
      <c r="Q100" s="22"/>
      <c r="R100" s="40"/>
    </row>
    <row r="101" spans="1:18">
      <c r="A101" s="32">
        <v>6950</v>
      </c>
      <c r="B101" s="32"/>
      <c r="C101" s="32"/>
      <c r="D101" s="12" t="s">
        <v>107</v>
      </c>
      <c r="E101" s="13"/>
      <c r="F101" s="13"/>
      <c r="G101" s="13"/>
      <c r="H101" s="13">
        <f>H102</f>
        <v>1500</v>
      </c>
      <c r="I101" s="17"/>
      <c r="R101" s="9"/>
    </row>
    <row r="102" spans="1:18">
      <c r="A102" s="30">
        <v>6959</v>
      </c>
      <c r="B102" s="30" t="s">
        <v>117</v>
      </c>
      <c r="C102" s="32"/>
      <c r="D102" s="9" t="s">
        <v>117</v>
      </c>
      <c r="E102" s="13"/>
      <c r="F102" s="13"/>
      <c r="G102" s="13"/>
      <c r="H102" s="16">
        <v>1500</v>
      </c>
      <c r="I102" s="17"/>
      <c r="R102" s="9"/>
    </row>
    <row r="103" spans="1:18">
      <c r="A103" s="11" t="s">
        <v>118</v>
      </c>
      <c r="B103" s="15"/>
      <c r="C103" s="15"/>
      <c r="D103" s="41" t="s">
        <v>119</v>
      </c>
      <c r="E103" s="13">
        <v>2788</v>
      </c>
      <c r="F103" s="13">
        <v>6388.56</v>
      </c>
      <c r="G103" s="13">
        <v>2788</v>
      </c>
      <c r="H103" s="13">
        <f>H107+H104</f>
        <v>4432.6000000000004</v>
      </c>
      <c r="I103" s="14"/>
      <c r="K103" s="3" t="e">
        <f>#REF!</f>
        <v>#REF!</v>
      </c>
      <c r="R103" s="9"/>
    </row>
    <row r="104" spans="1:18">
      <c r="A104" s="11">
        <v>1</v>
      </c>
      <c r="B104" s="15"/>
      <c r="C104" s="15"/>
      <c r="D104" s="12" t="s">
        <v>120</v>
      </c>
      <c r="E104" s="13"/>
      <c r="F104" s="13"/>
      <c r="G104" s="13"/>
      <c r="H104" s="13">
        <f>SUM(H105:H106)</f>
        <v>102.60000000000001</v>
      </c>
      <c r="I104" s="14"/>
      <c r="R104" s="9"/>
    </row>
    <row r="105" spans="1:18">
      <c r="A105" s="11"/>
      <c r="B105" s="11"/>
      <c r="C105" s="11"/>
      <c r="D105" s="9" t="s">
        <v>121</v>
      </c>
      <c r="E105" s="13"/>
      <c r="F105" s="13"/>
      <c r="G105" s="13"/>
      <c r="H105" s="16">
        <f>H108*0.02</f>
        <v>82.600000000000009</v>
      </c>
      <c r="I105" s="14"/>
      <c r="R105" s="9"/>
    </row>
    <row r="106" spans="1:18">
      <c r="A106" s="42"/>
      <c r="B106" s="42"/>
      <c r="C106" s="42"/>
      <c r="D106" s="31" t="s">
        <v>122</v>
      </c>
      <c r="E106" s="43"/>
      <c r="F106" s="44"/>
      <c r="G106" s="43"/>
      <c r="H106" s="16">
        <f>H109*0.1</f>
        <v>20</v>
      </c>
      <c r="I106" s="45"/>
      <c r="R106" s="9"/>
    </row>
    <row r="107" spans="1:18">
      <c r="A107" s="32">
        <v>2</v>
      </c>
      <c r="B107" s="46"/>
      <c r="C107" s="46"/>
      <c r="D107" s="28" t="s">
        <v>123</v>
      </c>
      <c r="E107" s="44"/>
      <c r="F107" s="44"/>
      <c r="G107" s="44"/>
      <c r="H107" s="13">
        <f>SUM(H108:H109)</f>
        <v>4330</v>
      </c>
      <c r="I107" s="45"/>
      <c r="R107" s="9"/>
    </row>
    <row r="108" spans="1:18">
      <c r="A108" s="42"/>
      <c r="B108" s="42"/>
      <c r="C108" s="42"/>
      <c r="D108" s="9" t="s">
        <v>121</v>
      </c>
      <c r="E108" s="44"/>
      <c r="F108" s="44"/>
      <c r="G108" s="44"/>
      <c r="H108" s="16">
        <v>4130</v>
      </c>
      <c r="I108" s="47"/>
      <c r="R108" s="9"/>
    </row>
    <row r="109" spans="1:18">
      <c r="A109" s="42"/>
      <c r="B109" s="42"/>
      <c r="C109" s="42"/>
      <c r="D109" s="31" t="s">
        <v>122</v>
      </c>
      <c r="E109" s="43"/>
      <c r="F109" s="44"/>
      <c r="G109" s="43"/>
      <c r="H109" s="16">
        <v>200</v>
      </c>
      <c r="I109" s="47"/>
      <c r="L109" s="1">
        <v>3035</v>
      </c>
      <c r="M109" s="2">
        <v>2788</v>
      </c>
      <c r="R109" s="9"/>
    </row>
    <row r="110" spans="1:18">
      <c r="A110" s="11">
        <v>3</v>
      </c>
      <c r="B110" s="11"/>
      <c r="C110" s="11"/>
      <c r="D110" s="28" t="s">
        <v>124</v>
      </c>
      <c r="E110" s="13"/>
      <c r="F110" s="13"/>
      <c r="G110" s="13"/>
      <c r="H110" s="13">
        <f>SUM(H111:H112)</f>
        <v>3150</v>
      </c>
      <c r="I110" s="14"/>
      <c r="R110" s="9"/>
    </row>
    <row r="111" spans="1:18">
      <c r="A111" s="11"/>
      <c r="B111" s="11"/>
      <c r="C111" s="11"/>
      <c r="D111" s="9" t="s">
        <v>121</v>
      </c>
      <c r="E111" s="13"/>
      <c r="F111" s="13"/>
      <c r="G111" s="13"/>
      <c r="H111" s="16">
        <v>3000</v>
      </c>
      <c r="I111" s="14"/>
      <c r="R111" s="9"/>
    </row>
    <row r="112" spans="1:18">
      <c r="A112" s="11"/>
      <c r="B112" s="11"/>
      <c r="C112" s="11"/>
      <c r="D112" s="31" t="s">
        <v>122</v>
      </c>
      <c r="E112" s="13"/>
      <c r="F112" s="13"/>
      <c r="G112" s="13"/>
      <c r="H112" s="16">
        <v>150</v>
      </c>
      <c r="I112" s="14"/>
      <c r="R112" s="9"/>
    </row>
    <row r="113" spans="1:18">
      <c r="A113" s="32">
        <v>4</v>
      </c>
      <c r="B113" s="32"/>
      <c r="C113" s="32"/>
      <c r="D113" s="12" t="s">
        <v>125</v>
      </c>
      <c r="E113" s="13"/>
      <c r="F113" s="13"/>
      <c r="G113" s="13"/>
      <c r="H113" s="13">
        <f>SUM(H114:H115)</f>
        <v>567</v>
      </c>
      <c r="I113" s="17"/>
      <c r="R113" s="9"/>
    </row>
    <row r="114" spans="1:18">
      <c r="A114" s="30"/>
      <c r="B114" s="30"/>
      <c r="C114" s="30"/>
      <c r="D114" s="9" t="s">
        <v>121</v>
      </c>
      <c r="E114" s="16"/>
      <c r="F114" s="16"/>
      <c r="G114" s="16"/>
      <c r="H114" s="16">
        <v>547</v>
      </c>
      <c r="I114" s="17"/>
      <c r="R114" s="9"/>
    </row>
    <row r="115" spans="1:18">
      <c r="A115" s="32"/>
      <c r="B115" s="32"/>
      <c r="C115" s="32"/>
      <c r="D115" s="31" t="s">
        <v>122</v>
      </c>
      <c r="E115" s="13"/>
      <c r="F115" s="13"/>
      <c r="G115" s="13"/>
      <c r="H115" s="16">
        <v>20</v>
      </c>
      <c r="I115" s="14"/>
      <c r="R115" s="9"/>
    </row>
    <row r="116" spans="1:18">
      <c r="A116" s="32">
        <v>5</v>
      </c>
      <c r="B116" s="32"/>
      <c r="C116" s="32"/>
      <c r="D116" s="12" t="s">
        <v>126</v>
      </c>
      <c r="E116" s="13"/>
      <c r="F116" s="13"/>
      <c r="G116" s="13"/>
      <c r="H116" s="13">
        <f>H108-H105-H111-H114+H115</f>
        <v>520.40000000000009</v>
      </c>
      <c r="I116" s="17"/>
      <c r="R116" s="9"/>
    </row>
    <row r="117" spans="1:18">
      <c r="A117" s="4"/>
      <c r="B117" s="4"/>
      <c r="C117" s="4"/>
      <c r="D117" s="48"/>
      <c r="E117" s="17"/>
      <c r="F117" s="17"/>
      <c r="G117" s="17"/>
      <c r="H117" s="17"/>
      <c r="I117" s="17"/>
    </row>
    <row r="118" spans="1:18" ht="15.75">
      <c r="A118" s="49"/>
      <c r="B118" s="49"/>
      <c r="C118" s="49"/>
      <c r="D118" s="49" t="s">
        <v>131</v>
      </c>
      <c r="E118" s="92" t="s">
        <v>129</v>
      </c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</row>
    <row r="119" spans="1:18" ht="15.75">
      <c r="A119" s="51"/>
      <c r="B119" s="51"/>
      <c r="C119" s="51"/>
      <c r="D119" s="51"/>
      <c r="E119" s="52"/>
      <c r="F119" s="52"/>
      <c r="G119" s="52"/>
      <c r="H119" s="92" t="s">
        <v>130</v>
      </c>
      <c r="I119" s="92"/>
      <c r="J119" s="92"/>
      <c r="K119" s="92"/>
      <c r="L119" s="92"/>
      <c r="M119" s="92"/>
      <c r="N119" s="92"/>
      <c r="O119" s="92"/>
      <c r="P119" s="92"/>
      <c r="Q119" s="92"/>
      <c r="R119" s="92"/>
    </row>
    <row r="120" spans="1:18" ht="15.75">
      <c r="A120" s="53"/>
      <c r="B120" s="53"/>
      <c r="C120" s="53"/>
      <c r="D120" s="53"/>
      <c r="E120" s="53"/>
      <c r="F120" s="53"/>
      <c r="G120" s="53"/>
      <c r="H120" s="53"/>
    </row>
    <row r="121" spans="1:18" ht="15.75">
      <c r="A121" s="54"/>
      <c r="B121" s="54"/>
      <c r="C121" s="54"/>
      <c r="D121" s="54"/>
      <c r="E121" s="54"/>
      <c r="F121" s="54"/>
      <c r="G121" s="54"/>
      <c r="H121" s="54"/>
    </row>
    <row r="122" spans="1:18" ht="15.75">
      <c r="A122" s="49"/>
      <c r="B122" s="49"/>
      <c r="C122" s="49"/>
      <c r="D122" s="54"/>
      <c r="E122" s="92"/>
      <c r="F122" s="92"/>
      <c r="G122" s="92"/>
      <c r="H122" s="92"/>
      <c r="I122" s="50"/>
    </row>
    <row r="123" spans="1:18" ht="15.75">
      <c r="A123" s="53"/>
      <c r="B123" s="53"/>
      <c r="C123" s="53"/>
      <c r="D123" s="53"/>
      <c r="E123" s="53"/>
      <c r="F123" s="53"/>
      <c r="G123" s="53"/>
      <c r="H123" s="53"/>
    </row>
    <row r="124" spans="1:18" ht="15.75">
      <c r="A124" s="87" t="s">
        <v>212</v>
      </c>
      <c r="B124" s="87"/>
      <c r="C124" s="87"/>
      <c r="D124" s="87"/>
      <c r="E124" s="53"/>
      <c r="F124" s="53"/>
      <c r="G124" s="53"/>
      <c r="H124" s="92" t="s">
        <v>132</v>
      </c>
      <c r="I124" s="92"/>
      <c r="J124" s="92"/>
      <c r="K124" s="92"/>
      <c r="L124" s="92"/>
      <c r="M124" s="92"/>
      <c r="N124" s="92"/>
      <c r="O124" s="92"/>
      <c r="P124" s="92"/>
      <c r="Q124" s="92"/>
      <c r="R124" s="92"/>
    </row>
    <row r="125" spans="1:18" ht="15.75">
      <c r="A125" s="53"/>
      <c r="B125" s="53"/>
      <c r="C125" s="53"/>
      <c r="D125" s="53"/>
      <c r="E125" s="53"/>
      <c r="F125" s="53"/>
      <c r="G125" s="53"/>
      <c r="H125" s="53"/>
    </row>
    <row r="126" spans="1:18" ht="15.75">
      <c r="A126" s="53"/>
      <c r="B126" s="53"/>
      <c r="C126" s="53"/>
      <c r="D126" s="53"/>
      <c r="E126" s="53"/>
      <c r="F126" s="53"/>
      <c r="G126" s="53"/>
      <c r="H126" s="53"/>
    </row>
    <row r="127" spans="1:18" ht="15.75">
      <c r="A127" s="53"/>
      <c r="B127" s="53"/>
      <c r="C127" s="53"/>
      <c r="D127" s="53"/>
      <c r="E127" s="53"/>
      <c r="F127" s="53"/>
      <c r="G127" s="53"/>
      <c r="H127" s="53"/>
    </row>
  </sheetData>
  <mergeCells count="15">
    <mergeCell ref="A124:D124"/>
    <mergeCell ref="F1:R2"/>
    <mergeCell ref="A4:R4"/>
    <mergeCell ref="A5:R5"/>
    <mergeCell ref="A6:R6"/>
    <mergeCell ref="G9:H9"/>
    <mergeCell ref="A7:R7"/>
    <mergeCell ref="H124:R124"/>
    <mergeCell ref="E10:E11"/>
    <mergeCell ref="F10:G10"/>
    <mergeCell ref="H10:H11"/>
    <mergeCell ref="R10:R11"/>
    <mergeCell ref="E122:H122"/>
    <mergeCell ref="E118:R118"/>
    <mergeCell ref="H119:R1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28"/>
  <sheetViews>
    <sheetView topLeftCell="A101" workbookViewId="0">
      <selection activeCell="V110" sqref="V110"/>
    </sheetView>
  </sheetViews>
  <sheetFormatPr defaultRowHeight="12.75"/>
  <cols>
    <col min="1" max="1" width="9.140625" style="1"/>
    <col min="2" max="2" width="6.7109375" style="1" hidden="1" customWidth="1"/>
    <col min="3" max="3" width="0" style="1" hidden="1" customWidth="1"/>
    <col min="4" max="4" width="48.28515625" style="1" customWidth="1"/>
    <col min="5" max="5" width="10.140625" style="1" hidden="1" customWidth="1"/>
    <col min="6" max="6" width="11.5703125" style="1" hidden="1" customWidth="1"/>
    <col min="7" max="7" width="9.140625" style="1" hidden="1" customWidth="1"/>
    <col min="8" max="8" width="15.140625" style="1" customWidth="1"/>
    <col min="9" max="9" width="19.28515625" style="1" hidden="1" customWidth="1"/>
    <col min="10" max="10" width="23.85546875" style="1" hidden="1" customWidth="1"/>
    <col min="11" max="11" width="14.28515625" style="3" hidden="1" customWidth="1"/>
    <col min="12" max="12" width="49.85546875" style="1" hidden="1" customWidth="1"/>
    <col min="13" max="13" width="11.5703125" style="2" hidden="1" customWidth="1"/>
    <col min="14" max="16" width="0" style="1" hidden="1" customWidth="1"/>
    <col min="17" max="17" width="3" style="1" hidden="1" customWidth="1"/>
    <col min="18" max="18" width="19.28515625" style="1" customWidth="1"/>
    <col min="19" max="19" width="15.140625" style="2" customWidth="1"/>
    <col min="20" max="21" width="9.140625" style="1"/>
    <col min="22" max="22" width="19.28515625" style="1" customWidth="1"/>
    <col min="23" max="24" width="9.140625" style="1"/>
    <col min="25" max="25" width="18.42578125" style="1" customWidth="1"/>
    <col min="26" max="16384" width="9.140625" style="1"/>
  </cols>
  <sheetData>
    <row r="1" spans="1:18">
      <c r="A1" s="1" t="s">
        <v>0</v>
      </c>
      <c r="F1" s="88" t="s">
        <v>1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pans="1:18">
      <c r="A2" s="1" t="s">
        <v>2</v>
      </c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4" spans="1:18">
      <c r="A4" s="89" t="s">
        <v>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</row>
    <row r="5" spans="1:18">
      <c r="A5" s="89" t="s">
        <v>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18">
      <c r="A6" s="89" t="s">
        <v>5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</row>
    <row r="7" spans="1:18">
      <c r="A7" s="91" t="s">
        <v>127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</row>
    <row r="8" spans="1:18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spans="1:18">
      <c r="G9" s="90"/>
      <c r="H9" s="90"/>
      <c r="I9" s="4"/>
      <c r="R9" s="56" t="s">
        <v>6</v>
      </c>
    </row>
    <row r="10" spans="1:18">
      <c r="A10" s="5" t="s">
        <v>7</v>
      </c>
      <c r="B10" s="5" t="s">
        <v>8</v>
      </c>
      <c r="C10" s="5" t="s">
        <v>9</v>
      </c>
      <c r="D10" s="5" t="s">
        <v>10</v>
      </c>
      <c r="E10" s="93" t="s">
        <v>11</v>
      </c>
      <c r="F10" s="95" t="s">
        <v>12</v>
      </c>
      <c r="G10" s="96"/>
      <c r="H10" s="93" t="s">
        <v>13</v>
      </c>
      <c r="I10" s="4"/>
      <c r="R10" s="97" t="s">
        <v>14</v>
      </c>
    </row>
    <row r="11" spans="1:18">
      <c r="A11" s="6"/>
      <c r="B11" s="6"/>
      <c r="C11" s="6"/>
      <c r="D11" s="6"/>
      <c r="E11" s="94"/>
      <c r="F11" s="7" t="s">
        <v>15</v>
      </c>
      <c r="G11" s="7" t="s">
        <v>16</v>
      </c>
      <c r="H11" s="94"/>
      <c r="I11" s="4"/>
      <c r="R11" s="98"/>
    </row>
    <row r="12" spans="1:18">
      <c r="A12" s="8" t="s">
        <v>17</v>
      </c>
      <c r="B12" s="8" t="s">
        <v>18</v>
      </c>
      <c r="C12" s="8" t="s">
        <v>19</v>
      </c>
      <c r="D12" s="8">
        <v>1</v>
      </c>
      <c r="E12" s="8">
        <v>2</v>
      </c>
      <c r="F12" s="8">
        <v>3</v>
      </c>
      <c r="G12" s="8">
        <v>4</v>
      </c>
      <c r="H12" s="8">
        <v>2</v>
      </c>
      <c r="I12" s="4"/>
      <c r="R12" s="9"/>
    </row>
    <row r="13" spans="1:18">
      <c r="A13" s="8"/>
      <c r="B13" s="8"/>
      <c r="C13" s="8"/>
      <c r="D13" s="7" t="s">
        <v>20</v>
      </c>
      <c r="E13" s="8"/>
      <c r="F13" s="8"/>
      <c r="G13" s="8"/>
      <c r="H13" s="10">
        <f>H14+H19</f>
        <v>12344.924064000001</v>
      </c>
      <c r="I13" s="4"/>
      <c r="R13" s="9"/>
    </row>
    <row r="14" spans="1:18">
      <c r="A14" s="11" t="s">
        <v>21</v>
      </c>
      <c r="B14" s="11"/>
      <c r="C14" s="11">
        <v>501</v>
      </c>
      <c r="D14" s="12" t="s">
        <v>22</v>
      </c>
      <c r="E14" s="13" t="e">
        <f>E16+#REF!+#REF!</f>
        <v>#REF!</v>
      </c>
      <c r="F14" s="13">
        <v>6389</v>
      </c>
      <c r="G14" s="13" t="e">
        <f>G16+#REF!+#REF!</f>
        <v>#REF!</v>
      </c>
      <c r="H14" s="13">
        <f>H15</f>
        <v>4250</v>
      </c>
      <c r="I14" s="14"/>
      <c r="R14" s="9"/>
    </row>
    <row r="15" spans="1:18">
      <c r="A15" s="15" t="s">
        <v>17</v>
      </c>
      <c r="B15" s="15"/>
      <c r="C15" s="15"/>
      <c r="D15" s="12" t="s">
        <v>23</v>
      </c>
      <c r="E15" s="13">
        <f>E16</f>
        <v>2597</v>
      </c>
      <c r="F15" s="13">
        <v>6200</v>
      </c>
      <c r="G15" s="13">
        <f>G16</f>
        <v>6200</v>
      </c>
      <c r="H15" s="13">
        <f>H16</f>
        <v>4250</v>
      </c>
      <c r="I15" s="14"/>
      <c r="R15" s="9"/>
    </row>
    <row r="16" spans="1:18">
      <c r="A16" s="15">
        <v>1</v>
      </c>
      <c r="B16" s="15"/>
      <c r="C16" s="15"/>
      <c r="D16" s="12" t="s">
        <v>24</v>
      </c>
      <c r="E16" s="13">
        <f>SUM(E17:E18)</f>
        <v>2597</v>
      </c>
      <c r="F16" s="13">
        <v>6200</v>
      </c>
      <c r="G16" s="13">
        <f>SUM(G17:G18)</f>
        <v>6200</v>
      </c>
      <c r="H16" s="13">
        <f>SUM(H17:H18)</f>
        <v>4250</v>
      </c>
      <c r="I16" s="14"/>
      <c r="R16" s="9"/>
    </row>
    <row r="17" spans="1:18">
      <c r="A17" s="15"/>
      <c r="B17" s="15"/>
      <c r="C17" s="15"/>
      <c r="D17" s="9" t="s">
        <v>25</v>
      </c>
      <c r="E17" s="16">
        <v>97</v>
      </c>
      <c r="F17" s="16">
        <v>5120</v>
      </c>
      <c r="G17" s="16">
        <v>5400</v>
      </c>
      <c r="H17" s="16">
        <v>4100</v>
      </c>
      <c r="I17" s="17"/>
      <c r="R17" s="9"/>
    </row>
    <row r="18" spans="1:18">
      <c r="A18" s="15"/>
      <c r="B18" s="15"/>
      <c r="C18" s="15"/>
      <c r="D18" s="9" t="s">
        <v>26</v>
      </c>
      <c r="E18" s="16">
        <v>2500</v>
      </c>
      <c r="F18" s="16">
        <v>1020</v>
      </c>
      <c r="G18" s="16">
        <v>800</v>
      </c>
      <c r="H18" s="16">
        <v>150</v>
      </c>
      <c r="I18" s="17"/>
      <c r="R18" s="9"/>
    </row>
    <row r="19" spans="1:18" ht="28.5" customHeight="1">
      <c r="A19" s="18" t="s">
        <v>18</v>
      </c>
      <c r="B19" s="18"/>
      <c r="C19" s="18"/>
      <c r="D19" s="19" t="s">
        <v>27</v>
      </c>
      <c r="E19" s="20" t="e">
        <f>E22+#REF!</f>
        <v>#REF!</v>
      </c>
      <c r="F19" s="20">
        <v>6914</v>
      </c>
      <c r="G19" s="20" t="e">
        <f>G22+#REF!</f>
        <v>#REF!</v>
      </c>
      <c r="H19" s="20">
        <f>H22+H88</f>
        <v>8094.9240640000007</v>
      </c>
      <c r="I19" s="21"/>
      <c r="J19" s="22"/>
      <c r="K19" s="23"/>
      <c r="L19" s="22"/>
      <c r="M19" s="24"/>
      <c r="N19" s="22"/>
      <c r="O19" s="22"/>
      <c r="P19" s="22"/>
      <c r="Q19" s="22"/>
      <c r="R19" s="25"/>
    </row>
    <row r="20" spans="1:18">
      <c r="A20" s="11"/>
      <c r="B20" s="11"/>
      <c r="C20" s="11"/>
      <c r="D20" s="26" t="s">
        <v>28</v>
      </c>
      <c r="E20" s="13"/>
      <c r="F20" s="13">
        <v>0</v>
      </c>
      <c r="G20" s="13"/>
      <c r="H20" s="13">
        <f>H22+H88+H103</f>
        <v>12344.924064000001</v>
      </c>
      <c r="I20" s="14"/>
      <c r="R20" s="9"/>
    </row>
    <row r="21" spans="1:18" hidden="1">
      <c r="A21" s="11" t="s">
        <v>21</v>
      </c>
      <c r="B21" s="27"/>
      <c r="C21" s="27"/>
      <c r="I21" s="14">
        <f>H19-7612</f>
        <v>482.92406400000073</v>
      </c>
      <c r="K21" s="3">
        <v>7730</v>
      </c>
      <c r="R21" s="9"/>
    </row>
    <row r="22" spans="1:18">
      <c r="A22" s="11">
        <v>1</v>
      </c>
      <c r="B22" s="11"/>
      <c r="C22" s="11"/>
      <c r="D22" s="28" t="s">
        <v>29</v>
      </c>
      <c r="E22" s="13">
        <f>E23+E50</f>
        <v>1627</v>
      </c>
      <c r="F22" s="13">
        <v>6688</v>
      </c>
      <c r="G22" s="13" t="e">
        <f>G23+G50</f>
        <v>#REF!</v>
      </c>
      <c r="H22" s="13">
        <f>SUM(H23,H50,H79,H85,)</f>
        <v>5942.9240640000007</v>
      </c>
      <c r="I22" s="14"/>
      <c r="K22" s="3">
        <f>H24+H27+H29+H39+H40+H43+H48+H51+H55+H58+H62+H67+H72+H80+H86</f>
        <v>5942.9240640000007</v>
      </c>
      <c r="R22" s="9"/>
    </row>
    <row r="23" spans="1:18">
      <c r="A23" s="11" t="s">
        <v>17</v>
      </c>
      <c r="B23" s="11"/>
      <c r="C23" s="11"/>
      <c r="D23" s="28" t="s">
        <v>30</v>
      </c>
      <c r="E23" s="13">
        <f>E24+E27+E29+E38+E39+E40+E43+E48</f>
        <v>1572</v>
      </c>
      <c r="F23" s="13">
        <v>3822.9757656000002</v>
      </c>
      <c r="G23" s="13" t="e">
        <f>G24+G27+G29+G38+G39+G40+G43+G48</f>
        <v>#REF!</v>
      </c>
      <c r="H23" s="13">
        <f>H24+H27+H29+H38+H39+H40+H43+H48</f>
        <v>4720.9240640000007</v>
      </c>
      <c r="I23" s="14">
        <v>4572</v>
      </c>
      <c r="J23" s="29" t="e">
        <f>H23+H50+H62+#REF!</f>
        <v>#REF!</v>
      </c>
      <c r="R23" s="9"/>
    </row>
    <row r="24" spans="1:18">
      <c r="A24" s="11">
        <v>6000</v>
      </c>
      <c r="B24" s="11"/>
      <c r="C24" s="11"/>
      <c r="D24" s="28" t="s">
        <v>31</v>
      </c>
      <c r="E24" s="13">
        <v>979</v>
      </c>
      <c r="F24" s="13">
        <v>1813.5828000000001</v>
      </c>
      <c r="G24" s="13">
        <v>979</v>
      </c>
      <c r="H24" s="13">
        <f>SUM(H25:H26)</f>
        <v>2823.252</v>
      </c>
      <c r="I24" s="14"/>
      <c r="K24" s="3">
        <f>H24+H27+H29+H43</f>
        <v>4675.3240640000004</v>
      </c>
      <c r="R24" s="9"/>
    </row>
    <row r="25" spans="1:18">
      <c r="A25" s="30">
        <v>6001</v>
      </c>
      <c r="B25" s="30"/>
      <c r="C25" s="30"/>
      <c r="D25" s="31" t="s">
        <v>32</v>
      </c>
      <c r="E25" s="16"/>
      <c r="F25" s="16">
        <v>1508.5596</v>
      </c>
      <c r="G25" s="16">
        <v>1350</v>
      </c>
      <c r="H25" s="16">
        <f>157.9*1490000*12/1000000</f>
        <v>2823.252</v>
      </c>
      <c r="I25" s="17"/>
      <c r="K25" s="3">
        <f>173.83-3</f>
        <v>170.83</v>
      </c>
      <c r="R25" s="9"/>
    </row>
    <row r="26" spans="1:18" hidden="1">
      <c r="A26" s="30"/>
      <c r="B26" s="30"/>
      <c r="C26" s="30"/>
      <c r="D26" s="31"/>
      <c r="E26" s="16"/>
      <c r="F26" s="16"/>
      <c r="G26" s="16"/>
      <c r="H26" s="16"/>
      <c r="I26" s="17"/>
      <c r="R26" s="9"/>
    </row>
    <row r="27" spans="1:18" hidden="1">
      <c r="A27" s="32">
        <v>6050</v>
      </c>
      <c r="B27" s="32"/>
      <c r="C27" s="32"/>
      <c r="D27" s="28" t="s">
        <v>33</v>
      </c>
      <c r="E27" s="13">
        <v>19</v>
      </c>
      <c r="F27" s="13">
        <v>48</v>
      </c>
      <c r="G27" s="13">
        <f>G28</f>
        <v>88</v>
      </c>
      <c r="H27" s="13">
        <f>H28</f>
        <v>0</v>
      </c>
      <c r="I27" s="14"/>
      <c r="J27" s="29">
        <f>H24+H29</f>
        <v>3881.2936</v>
      </c>
      <c r="R27" s="9"/>
    </row>
    <row r="28" spans="1:18" hidden="1">
      <c r="A28" s="30">
        <v>6051</v>
      </c>
      <c r="B28" s="30"/>
      <c r="C28" s="30"/>
      <c r="D28" s="31" t="s">
        <v>34</v>
      </c>
      <c r="E28" s="16"/>
      <c r="F28" s="16">
        <v>48</v>
      </c>
      <c r="G28" s="16">
        <v>88</v>
      </c>
      <c r="H28" s="16"/>
      <c r="I28" s="17"/>
      <c r="P28" s="1">
        <f>52-4</f>
        <v>48</v>
      </c>
      <c r="R28" s="9"/>
    </row>
    <row r="29" spans="1:18">
      <c r="A29" s="32">
        <v>6100</v>
      </c>
      <c r="B29" s="32"/>
      <c r="C29" s="32"/>
      <c r="D29" s="28" t="s">
        <v>35</v>
      </c>
      <c r="E29" s="13">
        <v>293</v>
      </c>
      <c r="F29" s="13">
        <v>1383.37572</v>
      </c>
      <c r="G29" s="13">
        <f>SUM(G30:G37)</f>
        <v>1691</v>
      </c>
      <c r="H29" s="13">
        <f>SUM(H30:H37)</f>
        <v>1058.0416</v>
      </c>
      <c r="I29" s="14"/>
      <c r="L29" s="33" t="s">
        <v>36</v>
      </c>
      <c r="M29" s="2">
        <v>730000</v>
      </c>
      <c r="N29" s="1">
        <v>12</v>
      </c>
      <c r="R29" s="9"/>
    </row>
    <row r="30" spans="1:18">
      <c r="A30" s="15">
        <v>6101</v>
      </c>
      <c r="B30" s="15"/>
      <c r="C30" s="15"/>
      <c r="D30" s="31" t="s">
        <v>37</v>
      </c>
      <c r="E30" s="16"/>
      <c r="F30" s="16">
        <v>85.848000000000013</v>
      </c>
      <c r="G30" s="16">
        <v>86</v>
      </c>
      <c r="H30" s="16">
        <f>5.5*1490000*12/1000000</f>
        <v>98.34</v>
      </c>
      <c r="I30" s="17"/>
      <c r="L30" s="33" t="s">
        <v>38</v>
      </c>
      <c r="M30" s="2">
        <v>730000</v>
      </c>
      <c r="N30" s="1">
        <v>12</v>
      </c>
      <c r="R30" s="9"/>
    </row>
    <row r="31" spans="1:18">
      <c r="A31" s="15">
        <v>6102</v>
      </c>
      <c r="B31" s="15"/>
      <c r="C31" s="15"/>
      <c r="D31" s="31" t="s">
        <v>39</v>
      </c>
      <c r="E31" s="16"/>
      <c r="F31" s="16">
        <v>57.816000000000003</v>
      </c>
      <c r="G31" s="16">
        <v>58</v>
      </c>
      <c r="H31" s="16">
        <f>4.1*1490000*12/1000000</f>
        <v>73.307999999999979</v>
      </c>
      <c r="I31" s="17"/>
      <c r="L31" s="33" t="s">
        <v>40</v>
      </c>
      <c r="M31" s="2">
        <v>730000</v>
      </c>
      <c r="N31" s="1">
        <v>12</v>
      </c>
      <c r="R31" s="9"/>
    </row>
    <row r="32" spans="1:18">
      <c r="A32" s="15">
        <v>6113</v>
      </c>
      <c r="B32" s="15"/>
      <c r="C32" s="15"/>
      <c r="D32" s="31" t="s">
        <v>41</v>
      </c>
      <c r="E32" s="16"/>
      <c r="F32" s="16">
        <v>1.752</v>
      </c>
      <c r="G32" s="16">
        <v>2</v>
      </c>
      <c r="H32" s="16">
        <f>1.95*1490000*12/1000000</f>
        <v>34.866</v>
      </c>
      <c r="I32" s="17"/>
      <c r="L32" s="33" t="s">
        <v>42</v>
      </c>
      <c r="M32" s="2">
        <v>730000</v>
      </c>
      <c r="N32" s="1">
        <v>12</v>
      </c>
      <c r="R32" s="9"/>
    </row>
    <row r="33" spans="1:18">
      <c r="A33" s="15">
        <v>6112</v>
      </c>
      <c r="B33" s="15"/>
      <c r="C33" s="15"/>
      <c r="D33" s="31" t="s">
        <v>43</v>
      </c>
      <c r="E33" s="16"/>
      <c r="F33" s="16">
        <v>420</v>
      </c>
      <c r="G33" s="16">
        <v>391</v>
      </c>
      <c r="H33" s="16">
        <v>300</v>
      </c>
      <c r="I33" s="17"/>
      <c r="L33" s="33" t="s">
        <v>44</v>
      </c>
      <c r="M33" s="2">
        <v>730000</v>
      </c>
      <c r="N33" s="1">
        <v>12</v>
      </c>
      <c r="R33" s="9"/>
    </row>
    <row r="34" spans="1:18">
      <c r="A34" s="15">
        <v>6115</v>
      </c>
      <c r="B34" s="15"/>
      <c r="C34" s="15"/>
      <c r="D34" s="31" t="s">
        <v>45</v>
      </c>
      <c r="E34" s="16"/>
      <c r="F34" s="16">
        <v>156</v>
      </c>
      <c r="G34" s="16">
        <v>150</v>
      </c>
      <c r="H34" s="16">
        <v>250</v>
      </c>
      <c r="I34" s="17"/>
      <c r="L34" s="33" t="s">
        <v>46</v>
      </c>
      <c r="M34" s="2">
        <v>730000</v>
      </c>
      <c r="N34" s="1">
        <v>12</v>
      </c>
      <c r="R34" s="9"/>
    </row>
    <row r="35" spans="1:18">
      <c r="A35" s="15">
        <v>6117</v>
      </c>
      <c r="B35" s="15"/>
      <c r="C35" s="15"/>
      <c r="D35" s="31" t="s">
        <v>47</v>
      </c>
      <c r="E35" s="16"/>
      <c r="F35" s="16">
        <v>30.15192</v>
      </c>
      <c r="G35" s="16">
        <v>22</v>
      </c>
      <c r="H35" s="16">
        <f>1.62*1490000*12/1000000</f>
        <v>28.965599999999998</v>
      </c>
      <c r="I35" s="17"/>
      <c r="L35" s="33" t="s">
        <v>48</v>
      </c>
      <c r="M35" s="2">
        <v>730000</v>
      </c>
      <c r="N35" s="1">
        <v>12</v>
      </c>
      <c r="R35" s="9"/>
    </row>
    <row r="36" spans="1:18">
      <c r="A36" s="15">
        <v>6117</v>
      </c>
      <c r="B36" s="15"/>
      <c r="C36" s="15"/>
      <c r="D36" s="31" t="s">
        <v>49</v>
      </c>
      <c r="E36" s="16"/>
      <c r="F36" s="16">
        <v>7.4459999999999997</v>
      </c>
      <c r="G36" s="16">
        <v>7</v>
      </c>
      <c r="H36" s="16">
        <f>1.15*1490000*12/1000000</f>
        <v>20.561999999999998</v>
      </c>
      <c r="I36" s="17"/>
      <c r="K36" s="3">
        <v>2474</v>
      </c>
      <c r="L36" s="33" t="s">
        <v>50</v>
      </c>
      <c r="M36" s="2">
        <v>730000</v>
      </c>
      <c r="N36" s="1">
        <v>12</v>
      </c>
      <c r="R36" s="9"/>
    </row>
    <row r="37" spans="1:18">
      <c r="A37" s="15">
        <v>6105</v>
      </c>
      <c r="B37" s="15"/>
      <c r="C37" s="15"/>
      <c r="D37" s="31" t="s">
        <v>51</v>
      </c>
      <c r="E37" s="16"/>
      <c r="F37" s="16">
        <v>594.36180000000002</v>
      </c>
      <c r="G37" s="16">
        <v>975</v>
      </c>
      <c r="H37" s="16">
        <v>252</v>
      </c>
      <c r="I37" s="17"/>
      <c r="K37" s="3">
        <f>6332</f>
        <v>6332</v>
      </c>
      <c r="L37" s="33" t="s">
        <v>52</v>
      </c>
      <c r="M37" s="2">
        <v>730000</v>
      </c>
      <c r="N37" s="1">
        <v>12</v>
      </c>
      <c r="R37" s="9"/>
    </row>
    <row r="38" spans="1:18">
      <c r="A38" s="11">
        <v>6150</v>
      </c>
      <c r="B38" s="11"/>
      <c r="C38" s="11"/>
      <c r="D38" s="28" t="s">
        <v>53</v>
      </c>
      <c r="E38" s="13"/>
      <c r="F38" s="13">
        <v>0</v>
      </c>
      <c r="G38" s="13"/>
      <c r="H38" s="13">
        <v>0</v>
      </c>
      <c r="I38" s="14"/>
      <c r="K38" s="3" t="e">
        <f>#REF!*70000</f>
        <v>#REF!</v>
      </c>
      <c r="R38" s="9"/>
    </row>
    <row r="39" spans="1:18">
      <c r="A39" s="11">
        <v>6200</v>
      </c>
      <c r="B39" s="11"/>
      <c r="C39" s="11"/>
      <c r="D39" s="12" t="s">
        <v>54</v>
      </c>
      <c r="E39" s="13">
        <v>15</v>
      </c>
      <c r="F39" s="13">
        <v>50</v>
      </c>
      <c r="G39" s="13" t="e">
        <f>SUM(#REF!)</f>
        <v>#REF!</v>
      </c>
      <c r="H39" s="13">
        <f>H40</f>
        <v>17.8</v>
      </c>
      <c r="I39" s="14"/>
      <c r="K39" s="3" t="s">
        <v>55</v>
      </c>
      <c r="R39" s="9"/>
    </row>
    <row r="40" spans="1:18">
      <c r="A40" s="11">
        <v>6250</v>
      </c>
      <c r="B40" s="11"/>
      <c r="C40" s="11"/>
      <c r="D40" s="12" t="s">
        <v>56</v>
      </c>
      <c r="E40" s="13">
        <v>22</v>
      </c>
      <c r="F40" s="13">
        <v>25</v>
      </c>
      <c r="G40" s="13">
        <v>22</v>
      </c>
      <c r="H40" s="13">
        <f>H41+H42</f>
        <v>17.8</v>
      </c>
      <c r="I40" s="14"/>
      <c r="K40" s="3">
        <f>3.5*730000*12</f>
        <v>30660000</v>
      </c>
      <c r="R40" s="9"/>
    </row>
    <row r="41" spans="1:18">
      <c r="A41" s="15">
        <v>6253</v>
      </c>
      <c r="B41" s="15"/>
      <c r="C41" s="15"/>
      <c r="D41" s="9" t="s">
        <v>57</v>
      </c>
      <c r="E41" s="16"/>
      <c r="F41" s="16">
        <v>12</v>
      </c>
      <c r="G41" s="16">
        <v>12</v>
      </c>
      <c r="H41" s="16">
        <v>8</v>
      </c>
      <c r="I41" s="17"/>
      <c r="K41" s="3">
        <v>55000000</v>
      </c>
      <c r="R41" s="9"/>
    </row>
    <row r="42" spans="1:18">
      <c r="A42" s="15">
        <v>6257</v>
      </c>
      <c r="B42" s="15"/>
      <c r="C42" s="15"/>
      <c r="D42" s="9" t="s">
        <v>58</v>
      </c>
      <c r="E42" s="16"/>
      <c r="F42" s="16">
        <v>13</v>
      </c>
      <c r="G42" s="16">
        <v>13</v>
      </c>
      <c r="H42" s="16">
        <f>49*200000/1000000</f>
        <v>9.8000000000000007</v>
      </c>
      <c r="I42" s="17"/>
      <c r="K42" s="3">
        <f>K41/12</f>
        <v>4583333.333333333</v>
      </c>
      <c r="R42" s="9"/>
    </row>
    <row r="43" spans="1:18">
      <c r="A43" s="11">
        <v>6300</v>
      </c>
      <c r="B43" s="11"/>
      <c r="C43" s="11"/>
      <c r="D43" s="12" t="s">
        <v>59</v>
      </c>
      <c r="E43" s="13">
        <v>240</v>
      </c>
      <c r="F43" s="13">
        <v>503.01724560000008</v>
      </c>
      <c r="G43" s="13">
        <f>SUM(G44:G47)</f>
        <v>637</v>
      </c>
      <c r="H43" s="13">
        <f>SUM(H44:H47)</f>
        <v>794.03046399999994</v>
      </c>
      <c r="I43" s="14"/>
      <c r="K43" s="2">
        <f>K42/730000</f>
        <v>6.2785388127853876</v>
      </c>
      <c r="R43" s="9"/>
    </row>
    <row r="44" spans="1:18">
      <c r="A44" s="30">
        <v>6301</v>
      </c>
      <c r="B44" s="30"/>
      <c r="C44" s="30"/>
      <c r="D44" s="9" t="s">
        <v>60</v>
      </c>
      <c r="E44" s="16"/>
      <c r="F44" s="16">
        <v>374.10144240000005</v>
      </c>
      <c r="G44" s="16">
        <v>480</v>
      </c>
      <c r="H44" s="16">
        <f>(H25+H26+H28+H30+H31+H32+H35+H36+H34)*18%</f>
        <v>599.27284799999995</v>
      </c>
      <c r="I44" s="17"/>
      <c r="R44" s="9"/>
    </row>
    <row r="45" spans="1:18">
      <c r="A45" s="30">
        <v>6302</v>
      </c>
      <c r="B45" s="30"/>
      <c r="C45" s="30"/>
      <c r="D45" s="9" t="s">
        <v>61</v>
      </c>
      <c r="E45" s="16"/>
      <c r="F45" s="16">
        <v>66.017901600000002</v>
      </c>
      <c r="G45" s="16">
        <v>76</v>
      </c>
      <c r="H45" s="16">
        <f>(H25+H26+H28+H30+H31+H32+H35+H36+H34)*3%</f>
        <v>99.878807999999992</v>
      </c>
      <c r="I45" s="17"/>
      <c r="K45" s="3">
        <f>6.28*730000*12</f>
        <v>55012800</v>
      </c>
      <c r="R45" s="9"/>
    </row>
    <row r="46" spans="1:18">
      <c r="A46" s="30">
        <v>6303</v>
      </c>
      <c r="B46" s="30"/>
      <c r="C46" s="30"/>
      <c r="D46" s="9" t="s">
        <v>62</v>
      </c>
      <c r="E46" s="16"/>
      <c r="F46" s="16">
        <v>40.891934400000004</v>
      </c>
      <c r="G46" s="16">
        <v>55</v>
      </c>
      <c r="H46" s="16">
        <f>(H25+H26+H28+H30+H31+H32+H35+H36)*2%</f>
        <v>61.585872000000002</v>
      </c>
      <c r="I46" s="17"/>
      <c r="R46" s="9"/>
    </row>
    <row r="47" spans="1:18">
      <c r="A47" s="30">
        <v>6304</v>
      </c>
      <c r="B47" s="30"/>
      <c r="C47" s="30"/>
      <c r="D47" s="9" t="s">
        <v>63</v>
      </c>
      <c r="E47" s="16"/>
      <c r="F47" s="16">
        <v>22.005967200000001</v>
      </c>
      <c r="G47" s="16">
        <v>26</v>
      </c>
      <c r="H47" s="16">
        <f>(H25+H26+H28+H30+H31+H32+H35+H36+H34)*1%</f>
        <v>33.292935999999997</v>
      </c>
      <c r="I47" s="17"/>
      <c r="R47" s="9"/>
    </row>
    <row r="48" spans="1:18">
      <c r="A48" s="32">
        <v>6400</v>
      </c>
      <c r="B48" s="32"/>
      <c r="C48" s="32"/>
      <c r="D48" s="12" t="s">
        <v>64</v>
      </c>
      <c r="E48" s="13">
        <v>4</v>
      </c>
      <c r="F48" s="13">
        <v>0</v>
      </c>
      <c r="G48" s="13">
        <f>G49</f>
        <v>0</v>
      </c>
      <c r="H48" s="13">
        <f>H49</f>
        <v>10</v>
      </c>
      <c r="I48" s="14"/>
      <c r="R48" s="9"/>
    </row>
    <row r="49" spans="1:18">
      <c r="A49" s="30">
        <v>6449</v>
      </c>
      <c r="B49" s="30"/>
      <c r="C49" s="30"/>
      <c r="D49" s="9" t="s">
        <v>64</v>
      </c>
      <c r="E49" s="16"/>
      <c r="F49" s="16"/>
      <c r="G49" s="16"/>
      <c r="H49" s="16">
        <v>10</v>
      </c>
      <c r="I49" s="17"/>
      <c r="R49" s="9"/>
    </row>
    <row r="50" spans="1:18">
      <c r="A50" s="11" t="s">
        <v>18</v>
      </c>
      <c r="B50" s="30"/>
      <c r="C50" s="30"/>
      <c r="D50" s="12" t="s">
        <v>65</v>
      </c>
      <c r="E50" s="13">
        <f>E51+E55+E58+E62</f>
        <v>55</v>
      </c>
      <c r="F50" s="13">
        <v>2590</v>
      </c>
      <c r="G50" s="13" t="e">
        <f>G51+G55+G58+G62+G72+G79</f>
        <v>#REF!</v>
      </c>
      <c r="H50" s="13">
        <f>SUM(H51,H55,H58,H62,H67,H72)</f>
        <v>1013</v>
      </c>
      <c r="I50" s="14">
        <f>H50-1530</f>
        <v>-517</v>
      </c>
      <c r="R50" s="9"/>
    </row>
    <row r="51" spans="1:18">
      <c r="A51" s="11">
        <v>6500</v>
      </c>
      <c r="B51" s="30"/>
      <c r="C51" s="30"/>
      <c r="D51" s="12" t="s">
        <v>66</v>
      </c>
      <c r="E51" s="13">
        <v>8</v>
      </c>
      <c r="F51" s="13">
        <v>123</v>
      </c>
      <c r="G51" s="13">
        <f>SUM(G52:G54)</f>
        <v>193</v>
      </c>
      <c r="H51" s="13">
        <f>SUM(H52:H54)</f>
        <v>275</v>
      </c>
      <c r="I51" s="14"/>
      <c r="R51" s="9"/>
    </row>
    <row r="52" spans="1:18">
      <c r="A52" s="15">
        <v>6501</v>
      </c>
      <c r="B52" s="30"/>
      <c r="C52" s="30"/>
      <c r="D52" s="9" t="s">
        <v>67</v>
      </c>
      <c r="E52" s="13"/>
      <c r="F52" s="13">
        <v>48</v>
      </c>
      <c r="G52" s="13">
        <v>42</v>
      </c>
      <c r="H52" s="16">
        <v>110</v>
      </c>
      <c r="I52" s="17"/>
      <c r="R52" s="9"/>
    </row>
    <row r="53" spans="1:18">
      <c r="A53" s="15">
        <v>6502</v>
      </c>
      <c r="B53" s="30"/>
      <c r="C53" s="30"/>
      <c r="D53" s="9" t="s">
        <v>68</v>
      </c>
      <c r="E53" s="16"/>
      <c r="F53" s="16">
        <v>45</v>
      </c>
      <c r="G53" s="16">
        <v>61</v>
      </c>
      <c r="H53" s="16">
        <v>85</v>
      </c>
      <c r="I53" s="17"/>
      <c r="R53" s="9"/>
    </row>
    <row r="54" spans="1:18">
      <c r="A54" s="15">
        <v>6503</v>
      </c>
      <c r="B54" s="30"/>
      <c r="C54" s="30"/>
      <c r="D54" s="9" t="s">
        <v>69</v>
      </c>
      <c r="E54" s="16"/>
      <c r="F54" s="16">
        <v>30</v>
      </c>
      <c r="G54" s="16">
        <v>90</v>
      </c>
      <c r="H54" s="16">
        <v>80</v>
      </c>
      <c r="I54" s="17"/>
      <c r="R54" s="9"/>
    </row>
    <row r="55" spans="1:18">
      <c r="A55" s="32">
        <v>6550</v>
      </c>
      <c r="B55" s="32"/>
      <c r="C55" s="32"/>
      <c r="D55" s="28" t="s">
        <v>70</v>
      </c>
      <c r="E55" s="13">
        <v>18</v>
      </c>
      <c r="F55" s="13">
        <v>50</v>
      </c>
      <c r="G55" s="13">
        <f>G56</f>
        <v>36</v>
      </c>
      <c r="H55" s="13">
        <f>SUM(H56:H57)</f>
        <v>93</v>
      </c>
      <c r="I55" s="14"/>
      <c r="K55" s="3">
        <f>12000*22700</f>
        <v>272400000</v>
      </c>
      <c r="R55" s="9"/>
    </row>
    <row r="56" spans="1:18">
      <c r="A56" s="30">
        <v>6551</v>
      </c>
      <c r="B56" s="30"/>
      <c r="C56" s="30"/>
      <c r="D56" s="31" t="s">
        <v>71</v>
      </c>
      <c r="E56" s="16"/>
      <c r="F56" s="16">
        <v>50</v>
      </c>
      <c r="G56" s="16">
        <v>36</v>
      </c>
      <c r="H56" s="16">
        <v>43</v>
      </c>
      <c r="I56" s="17"/>
      <c r="R56" s="9"/>
    </row>
    <row r="57" spans="1:18">
      <c r="A57" s="30">
        <v>6652</v>
      </c>
      <c r="B57" s="30"/>
      <c r="C57" s="30"/>
      <c r="D57" s="31" t="s">
        <v>72</v>
      </c>
      <c r="E57" s="16"/>
      <c r="F57" s="16"/>
      <c r="G57" s="16"/>
      <c r="H57" s="16">
        <v>50</v>
      </c>
      <c r="I57" s="17"/>
      <c r="R57" s="9"/>
    </row>
    <row r="58" spans="1:18">
      <c r="A58" s="32">
        <v>6600</v>
      </c>
      <c r="B58" s="32"/>
      <c r="C58" s="32"/>
      <c r="D58" s="28" t="s">
        <v>73</v>
      </c>
      <c r="E58" s="13">
        <v>13</v>
      </c>
      <c r="F58" s="13">
        <v>100</v>
      </c>
      <c r="G58" s="13">
        <f>SUM(G59:G61)</f>
        <v>57</v>
      </c>
      <c r="H58" s="13">
        <f>SUM(H59:H61)</f>
        <v>67</v>
      </c>
      <c r="I58" s="14"/>
      <c r="R58" s="9"/>
    </row>
    <row r="59" spans="1:18">
      <c r="A59" s="30">
        <v>6601</v>
      </c>
      <c r="B59" s="30"/>
      <c r="C59" s="30"/>
      <c r="D59" s="31" t="s">
        <v>74</v>
      </c>
      <c r="E59" s="16"/>
      <c r="F59" s="16">
        <v>25</v>
      </c>
      <c r="G59" s="16">
        <v>23</v>
      </c>
      <c r="H59" s="16">
        <v>25</v>
      </c>
      <c r="I59" s="17"/>
      <c r="K59" s="3">
        <v>6082</v>
      </c>
      <c r="R59" s="9"/>
    </row>
    <row r="60" spans="1:18">
      <c r="A60" s="30">
        <v>6603</v>
      </c>
      <c r="B60" s="30"/>
      <c r="C60" s="30"/>
      <c r="D60" s="31" t="s">
        <v>75</v>
      </c>
      <c r="E60" s="16"/>
      <c r="F60" s="16">
        <v>5</v>
      </c>
      <c r="G60" s="16">
        <v>4</v>
      </c>
      <c r="H60" s="16">
        <v>40</v>
      </c>
      <c r="I60" s="17"/>
      <c r="K60" s="3">
        <v>1530</v>
      </c>
      <c r="R60" s="9"/>
    </row>
    <row r="61" spans="1:18">
      <c r="A61" s="30">
        <v>6612</v>
      </c>
      <c r="B61" s="30"/>
      <c r="C61" s="30"/>
      <c r="D61" s="31" t="s">
        <v>76</v>
      </c>
      <c r="E61" s="16"/>
      <c r="F61" s="16">
        <v>50</v>
      </c>
      <c r="G61" s="16">
        <v>30</v>
      </c>
      <c r="H61" s="16">
        <v>2</v>
      </c>
      <c r="I61" s="17"/>
      <c r="J61" s="1" t="s">
        <v>77</v>
      </c>
      <c r="K61" s="3">
        <f>600+350</f>
        <v>950</v>
      </c>
      <c r="R61" s="9"/>
    </row>
    <row r="62" spans="1:18">
      <c r="A62" s="32">
        <v>6700</v>
      </c>
      <c r="B62" s="32"/>
      <c r="C62" s="32"/>
      <c r="D62" s="28" t="s">
        <v>78</v>
      </c>
      <c r="E62" s="13">
        <v>16</v>
      </c>
      <c r="F62" s="13">
        <v>215</v>
      </c>
      <c r="G62" s="13">
        <f>G63+G64+G65+G66</f>
        <v>145</v>
      </c>
      <c r="H62" s="13">
        <f>H63+H64+H65+H66</f>
        <v>120</v>
      </c>
      <c r="I62" s="14"/>
      <c r="J62" s="1" t="s">
        <v>79</v>
      </c>
      <c r="K62" s="34">
        <v>43.2</v>
      </c>
      <c r="R62" s="9"/>
    </row>
    <row r="63" spans="1:18">
      <c r="A63" s="30">
        <v>6701</v>
      </c>
      <c r="B63" s="32"/>
      <c r="C63" s="32"/>
      <c r="D63" s="31" t="s">
        <v>80</v>
      </c>
      <c r="E63" s="13"/>
      <c r="F63" s="13">
        <v>100</v>
      </c>
      <c r="G63" s="13">
        <v>50</v>
      </c>
      <c r="H63" s="16">
        <v>40</v>
      </c>
      <c r="I63" s="17"/>
      <c r="J63" s="1" t="s">
        <v>81</v>
      </c>
      <c r="K63" s="34">
        <v>24.8</v>
      </c>
      <c r="R63" s="9"/>
    </row>
    <row r="64" spans="1:18">
      <c r="A64" s="30">
        <v>6702</v>
      </c>
      <c r="B64" s="32"/>
      <c r="C64" s="32"/>
      <c r="D64" s="31" t="s">
        <v>82</v>
      </c>
      <c r="E64" s="13"/>
      <c r="F64" s="13">
        <v>50</v>
      </c>
      <c r="G64" s="13">
        <v>40</v>
      </c>
      <c r="H64" s="16">
        <v>45</v>
      </c>
      <c r="I64" s="17"/>
      <c r="J64" s="1" t="s">
        <v>83</v>
      </c>
      <c r="K64" s="34">
        <v>99.6</v>
      </c>
      <c r="R64" s="9"/>
    </row>
    <row r="65" spans="1:19">
      <c r="A65" s="30">
        <v>6703</v>
      </c>
      <c r="B65" s="32"/>
      <c r="C65" s="32"/>
      <c r="D65" s="31" t="s">
        <v>84</v>
      </c>
      <c r="E65" s="13"/>
      <c r="F65" s="13">
        <v>50</v>
      </c>
      <c r="G65" s="13">
        <v>40</v>
      </c>
      <c r="H65" s="16">
        <v>15</v>
      </c>
      <c r="I65" s="17"/>
      <c r="J65" s="1" t="s">
        <v>85</v>
      </c>
      <c r="K65" s="3">
        <v>94</v>
      </c>
      <c r="R65" s="9"/>
    </row>
    <row r="66" spans="1:19">
      <c r="A66" s="30">
        <v>6704</v>
      </c>
      <c r="B66" s="30"/>
      <c r="C66" s="30"/>
      <c r="D66" s="31" t="s">
        <v>86</v>
      </c>
      <c r="E66" s="16"/>
      <c r="F66" s="16">
        <v>15</v>
      </c>
      <c r="G66" s="16">
        <v>15</v>
      </c>
      <c r="H66" s="16">
        <v>20</v>
      </c>
      <c r="I66" s="17"/>
      <c r="J66" s="1" t="s">
        <v>87</v>
      </c>
      <c r="K66" s="3">
        <v>276</v>
      </c>
      <c r="R66" s="9"/>
    </row>
    <row r="67" spans="1:19" s="35" customFormat="1">
      <c r="A67" s="32">
        <v>6900</v>
      </c>
      <c r="B67" s="32"/>
      <c r="C67" s="32"/>
      <c r="D67" s="28" t="s">
        <v>88</v>
      </c>
      <c r="E67" s="13"/>
      <c r="F67" s="13"/>
      <c r="G67" s="13">
        <f>SUM(G68:G71)</f>
        <v>758</v>
      </c>
      <c r="H67" s="13">
        <f>SUM(H68:H71)</f>
        <v>80</v>
      </c>
      <c r="I67" s="14"/>
      <c r="K67" s="36"/>
      <c r="M67" s="37"/>
      <c r="R67" s="12"/>
      <c r="S67" s="37"/>
    </row>
    <row r="68" spans="1:19">
      <c r="A68" s="30">
        <v>6912</v>
      </c>
      <c r="B68" s="30"/>
      <c r="C68" s="30"/>
      <c r="D68" s="31" t="s">
        <v>89</v>
      </c>
      <c r="E68" s="16"/>
      <c r="F68" s="16"/>
      <c r="G68" s="16">
        <v>15</v>
      </c>
      <c r="H68" s="16">
        <v>20</v>
      </c>
      <c r="I68" s="17"/>
      <c r="R68" s="9"/>
    </row>
    <row r="69" spans="1:19">
      <c r="A69" s="30">
        <v>6913</v>
      </c>
      <c r="B69" s="30"/>
      <c r="C69" s="30"/>
      <c r="D69" s="31" t="s">
        <v>90</v>
      </c>
      <c r="E69" s="16"/>
      <c r="F69" s="16"/>
      <c r="G69" s="16">
        <v>25</v>
      </c>
      <c r="H69" s="16">
        <v>20</v>
      </c>
      <c r="I69" s="17"/>
      <c r="R69" s="9"/>
    </row>
    <row r="70" spans="1:19">
      <c r="A70" s="30">
        <v>6921</v>
      </c>
      <c r="B70" s="30"/>
      <c r="C70" s="30"/>
      <c r="D70" s="31" t="s">
        <v>91</v>
      </c>
      <c r="E70" s="16"/>
      <c r="F70" s="16"/>
      <c r="G70" s="16">
        <v>15</v>
      </c>
      <c r="H70" s="16">
        <v>20</v>
      </c>
      <c r="I70" s="17"/>
      <c r="R70" s="9"/>
    </row>
    <row r="71" spans="1:19">
      <c r="A71" s="30">
        <v>6949</v>
      </c>
      <c r="B71" s="30"/>
      <c r="C71" s="30"/>
      <c r="D71" s="31" t="s">
        <v>92</v>
      </c>
      <c r="E71" s="16"/>
      <c r="F71" s="16"/>
      <c r="G71" s="16">
        <v>703</v>
      </c>
      <c r="H71" s="16">
        <v>20</v>
      </c>
      <c r="I71" s="17"/>
      <c r="K71" s="3">
        <f>1530-950</f>
        <v>580</v>
      </c>
      <c r="R71" s="9"/>
    </row>
    <row r="72" spans="1:19">
      <c r="A72" s="32">
        <v>7000</v>
      </c>
      <c r="B72" s="32"/>
      <c r="C72" s="32"/>
      <c r="D72" s="28" t="s">
        <v>93</v>
      </c>
      <c r="E72" s="13"/>
      <c r="F72" s="13">
        <v>1282</v>
      </c>
      <c r="G72" s="13">
        <f>G73+G78+G74+G75+G76+G77</f>
        <v>400</v>
      </c>
      <c r="H72" s="13">
        <f>H73+H78+H74+H75+H76+H77</f>
        <v>378</v>
      </c>
      <c r="I72" s="14"/>
      <c r="K72" s="3">
        <v>950</v>
      </c>
      <c r="R72" s="9"/>
    </row>
    <row r="73" spans="1:19">
      <c r="A73" s="30">
        <v>7001</v>
      </c>
      <c r="B73" s="30"/>
      <c r="C73" s="30"/>
      <c r="D73" s="31" t="s">
        <v>94</v>
      </c>
      <c r="E73" s="16"/>
      <c r="F73" s="16">
        <v>600</v>
      </c>
      <c r="G73" s="16">
        <v>180</v>
      </c>
      <c r="H73" s="16">
        <v>200</v>
      </c>
      <c r="I73" s="17"/>
      <c r="R73" s="9"/>
    </row>
    <row r="74" spans="1:19">
      <c r="A74" s="30">
        <v>7003</v>
      </c>
      <c r="B74" s="30"/>
      <c r="C74" s="30"/>
      <c r="D74" s="31" t="s">
        <v>95</v>
      </c>
      <c r="E74" s="16"/>
      <c r="F74" s="16">
        <v>20</v>
      </c>
      <c r="G74" s="16">
        <v>20</v>
      </c>
      <c r="H74" s="16">
        <v>50</v>
      </c>
      <c r="I74" s="17"/>
      <c r="R74" s="9"/>
    </row>
    <row r="75" spans="1:19">
      <c r="A75" s="30">
        <v>7004</v>
      </c>
      <c r="B75" s="30"/>
      <c r="C75" s="30"/>
      <c r="D75" s="31" t="s">
        <v>96</v>
      </c>
      <c r="E75" s="16"/>
      <c r="F75" s="16">
        <v>100</v>
      </c>
      <c r="G75" s="16">
        <v>70</v>
      </c>
      <c r="H75" s="16">
        <v>10</v>
      </c>
      <c r="I75" s="17"/>
      <c r="R75" s="9"/>
    </row>
    <row r="76" spans="1:19">
      <c r="A76" s="30">
        <v>7005</v>
      </c>
      <c r="B76" s="30"/>
      <c r="C76" s="30"/>
      <c r="D76" s="31" t="s">
        <v>97</v>
      </c>
      <c r="E76" s="16"/>
      <c r="F76" s="16">
        <v>12</v>
      </c>
      <c r="G76" s="16">
        <v>70</v>
      </c>
      <c r="H76" s="16">
        <v>50</v>
      </c>
      <c r="I76" s="17"/>
      <c r="R76" s="9"/>
    </row>
    <row r="77" spans="1:19">
      <c r="A77" s="30">
        <v>7012</v>
      </c>
      <c r="B77" s="30"/>
      <c r="C77" s="30"/>
      <c r="D77" s="31" t="s">
        <v>98</v>
      </c>
      <c r="E77" s="16"/>
      <c r="F77" s="16">
        <v>50</v>
      </c>
      <c r="G77" s="16">
        <v>30</v>
      </c>
      <c r="H77" s="16">
        <v>48</v>
      </c>
      <c r="I77" s="17"/>
      <c r="R77" s="9"/>
    </row>
    <row r="78" spans="1:19">
      <c r="A78" s="30">
        <v>7049</v>
      </c>
      <c r="B78" s="30"/>
      <c r="C78" s="30"/>
      <c r="D78" s="31" t="s">
        <v>99</v>
      </c>
      <c r="E78" s="16"/>
      <c r="F78" s="16">
        <v>500</v>
      </c>
      <c r="G78" s="16">
        <v>30</v>
      </c>
      <c r="H78" s="16">
        <v>20</v>
      </c>
      <c r="I78" s="17"/>
      <c r="R78" s="9"/>
    </row>
    <row r="79" spans="1:19">
      <c r="A79" s="11" t="s">
        <v>19</v>
      </c>
      <c r="B79" s="30"/>
      <c r="C79" s="30"/>
      <c r="D79" s="28" t="s">
        <v>100</v>
      </c>
      <c r="E79" s="16"/>
      <c r="F79" s="16">
        <v>820</v>
      </c>
      <c r="G79" s="13" t="e">
        <f>G80</f>
        <v>#REF!</v>
      </c>
      <c r="H79" s="13">
        <f>H80</f>
        <v>129</v>
      </c>
      <c r="I79" s="14"/>
      <c r="R79" s="9"/>
    </row>
    <row r="80" spans="1:19">
      <c r="A80" s="32">
        <v>7750</v>
      </c>
      <c r="B80" s="32"/>
      <c r="C80" s="32"/>
      <c r="D80" s="28" t="s">
        <v>101</v>
      </c>
      <c r="E80" s="16"/>
      <c r="F80" s="16">
        <v>820</v>
      </c>
      <c r="G80" s="13" t="e">
        <f>#REF!+G81+G82+G83+G84</f>
        <v>#REF!</v>
      </c>
      <c r="H80" s="13">
        <f>SUM(H81:H84)</f>
        <v>129</v>
      </c>
      <c r="I80" s="14"/>
      <c r="R80" s="9"/>
    </row>
    <row r="81" spans="1:19">
      <c r="A81" s="30">
        <v>7757</v>
      </c>
      <c r="B81" s="32"/>
      <c r="C81" s="32"/>
      <c r="D81" s="31" t="s">
        <v>102</v>
      </c>
      <c r="E81" s="16"/>
      <c r="F81" s="16">
        <v>20</v>
      </c>
      <c r="G81" s="16">
        <v>12</v>
      </c>
      <c r="H81" s="16">
        <v>20</v>
      </c>
      <c r="I81" s="17"/>
      <c r="R81" s="9"/>
    </row>
    <row r="82" spans="1:19">
      <c r="A82" s="30">
        <v>7758</v>
      </c>
      <c r="B82" s="32"/>
      <c r="C82" s="32"/>
      <c r="D82" s="31" t="s">
        <v>103</v>
      </c>
      <c r="E82" s="16"/>
      <c r="F82" s="16">
        <v>200</v>
      </c>
      <c r="G82" s="16">
        <v>40</v>
      </c>
      <c r="H82" s="16">
        <v>20</v>
      </c>
      <c r="I82" s="17"/>
      <c r="R82" s="9"/>
    </row>
    <row r="83" spans="1:19">
      <c r="A83" s="30">
        <v>7761</v>
      </c>
      <c r="B83" s="32"/>
      <c r="C83" s="32"/>
      <c r="D83" s="31" t="s">
        <v>104</v>
      </c>
      <c r="E83" s="16"/>
      <c r="F83" s="16">
        <v>100</v>
      </c>
      <c r="G83" s="16">
        <v>110</v>
      </c>
      <c r="H83" s="16">
        <v>50</v>
      </c>
      <c r="I83" s="17"/>
      <c r="R83" s="9"/>
    </row>
    <row r="84" spans="1:19">
      <c r="A84" s="30">
        <v>7799</v>
      </c>
      <c r="B84" s="32"/>
      <c r="C84" s="32"/>
      <c r="D84" s="31" t="s">
        <v>105</v>
      </c>
      <c r="E84" s="16"/>
      <c r="F84" s="16">
        <v>500</v>
      </c>
      <c r="G84" s="16">
        <v>100</v>
      </c>
      <c r="H84" s="16">
        <f>50-11</f>
        <v>39</v>
      </c>
      <c r="I84" s="17"/>
      <c r="R84" s="9"/>
    </row>
    <row r="85" spans="1:19">
      <c r="A85" s="11" t="s">
        <v>106</v>
      </c>
      <c r="B85" s="32"/>
      <c r="C85" s="32"/>
      <c r="D85" s="28" t="s">
        <v>107</v>
      </c>
      <c r="E85" s="16"/>
      <c r="F85" s="16"/>
      <c r="G85" s="16"/>
      <c r="H85" s="16">
        <f>H86</f>
        <v>80</v>
      </c>
      <c r="I85" s="17"/>
      <c r="R85" s="9"/>
    </row>
    <row r="86" spans="1:19" s="35" customFormat="1">
      <c r="A86" s="32">
        <v>6950</v>
      </c>
      <c r="B86" s="32"/>
      <c r="C86" s="32"/>
      <c r="D86" s="28" t="s">
        <v>107</v>
      </c>
      <c r="E86" s="13"/>
      <c r="F86" s="13"/>
      <c r="G86" s="13">
        <f>SUM(G87)</f>
        <v>310</v>
      </c>
      <c r="H86" s="13">
        <f>SUM(H87:H87)</f>
        <v>80</v>
      </c>
      <c r="I86" s="14"/>
      <c r="K86" s="36"/>
      <c r="M86" s="37"/>
      <c r="R86" s="12"/>
      <c r="S86" s="37"/>
    </row>
    <row r="87" spans="1:19">
      <c r="A87" s="30"/>
      <c r="B87" s="32"/>
      <c r="C87" s="32"/>
      <c r="D87" s="31" t="s">
        <v>108</v>
      </c>
      <c r="E87" s="16"/>
      <c r="F87" s="16"/>
      <c r="G87" s="16">
        <v>310</v>
      </c>
      <c r="H87" s="16">
        <v>80</v>
      </c>
      <c r="I87" s="17">
        <f>320-265</f>
        <v>55</v>
      </c>
      <c r="K87" s="3">
        <f>580-290</f>
        <v>290</v>
      </c>
      <c r="R87" s="9"/>
    </row>
    <row r="88" spans="1:19">
      <c r="A88" s="32">
        <v>2</v>
      </c>
      <c r="B88" s="32"/>
      <c r="C88" s="32"/>
      <c r="D88" s="28" t="s">
        <v>109</v>
      </c>
      <c r="E88" s="16"/>
      <c r="F88" s="16"/>
      <c r="G88" s="16"/>
      <c r="H88" s="13">
        <f>H89+H100</f>
        <v>2152</v>
      </c>
      <c r="I88" s="17"/>
      <c r="R88" s="9"/>
    </row>
    <row r="89" spans="1:19">
      <c r="A89" s="32" t="s">
        <v>110</v>
      </c>
      <c r="B89" s="32"/>
      <c r="C89" s="32"/>
      <c r="D89" s="28" t="s">
        <v>111</v>
      </c>
      <c r="E89" s="16"/>
      <c r="F89" s="16"/>
      <c r="G89" s="16"/>
      <c r="H89" s="13">
        <f>H92+H98+H96+H90</f>
        <v>652</v>
      </c>
      <c r="I89" s="17"/>
      <c r="R89" s="9"/>
    </row>
    <row r="90" spans="1:19">
      <c r="A90" s="32">
        <v>6900</v>
      </c>
      <c r="B90" s="32"/>
      <c r="C90" s="32"/>
      <c r="D90" s="28" t="s">
        <v>88</v>
      </c>
      <c r="E90" s="16"/>
      <c r="F90" s="16"/>
      <c r="G90" s="16"/>
      <c r="H90" s="13">
        <f>H91</f>
        <v>212</v>
      </c>
      <c r="I90" s="17"/>
      <c r="R90" s="9"/>
    </row>
    <row r="91" spans="1:19">
      <c r="A91" s="30">
        <v>6949</v>
      </c>
      <c r="B91" s="30"/>
      <c r="C91" s="30"/>
      <c r="D91" s="31" t="s">
        <v>92</v>
      </c>
      <c r="E91" s="16"/>
      <c r="F91" s="16"/>
      <c r="G91" s="16"/>
      <c r="H91" s="16">
        <v>212</v>
      </c>
      <c r="I91" s="17"/>
      <c r="R91" s="9"/>
    </row>
    <row r="92" spans="1:19">
      <c r="A92" s="32">
        <v>7000</v>
      </c>
      <c r="B92" s="32"/>
      <c r="C92" s="32"/>
      <c r="D92" s="28" t="s">
        <v>93</v>
      </c>
      <c r="E92" s="16"/>
      <c r="F92" s="16"/>
      <c r="G92" s="16"/>
      <c r="H92" s="13">
        <f>SUM(H93:H95)</f>
        <v>290</v>
      </c>
      <c r="I92" s="17"/>
      <c r="R92" s="9"/>
    </row>
    <row r="93" spans="1:19">
      <c r="A93" s="30">
        <v>7001</v>
      </c>
      <c r="B93" s="30"/>
      <c r="C93" s="30"/>
      <c r="D93" s="31" t="s">
        <v>94</v>
      </c>
      <c r="E93" s="16"/>
      <c r="F93" s="16"/>
      <c r="G93" s="16"/>
      <c r="H93" s="16">
        <v>180</v>
      </c>
      <c r="I93" s="17"/>
      <c r="R93" s="9"/>
    </row>
    <row r="94" spans="1:19">
      <c r="A94" s="30">
        <v>7003</v>
      </c>
      <c r="B94" s="30"/>
      <c r="C94" s="30"/>
      <c r="D94" s="31" t="s">
        <v>95</v>
      </c>
      <c r="E94" s="16"/>
      <c r="F94" s="16"/>
      <c r="G94" s="16"/>
      <c r="H94" s="16">
        <v>60</v>
      </c>
      <c r="I94" s="17"/>
      <c r="R94" s="9"/>
    </row>
    <row r="95" spans="1:19">
      <c r="A95" s="30">
        <v>7049</v>
      </c>
      <c r="B95" s="30"/>
      <c r="C95" s="30"/>
      <c r="D95" s="31" t="s">
        <v>99</v>
      </c>
      <c r="E95" s="16"/>
      <c r="F95" s="16">
        <v>500</v>
      </c>
      <c r="G95" s="16">
        <v>30</v>
      </c>
      <c r="H95" s="16">
        <v>50</v>
      </c>
      <c r="I95" s="17"/>
      <c r="R95" s="9"/>
    </row>
    <row r="96" spans="1:19">
      <c r="A96" s="32">
        <v>7050</v>
      </c>
      <c r="B96" s="32"/>
      <c r="C96" s="32"/>
      <c r="D96" s="28" t="s">
        <v>112</v>
      </c>
      <c r="E96" s="13"/>
      <c r="F96" s="13"/>
      <c r="G96" s="13"/>
      <c r="H96" s="13">
        <f>H97</f>
        <v>100</v>
      </c>
      <c r="I96" s="17"/>
      <c r="R96" s="9"/>
    </row>
    <row r="97" spans="1:18">
      <c r="A97" s="30">
        <v>7053</v>
      </c>
      <c r="B97" s="30"/>
      <c r="C97" s="30"/>
      <c r="D97" s="31" t="s">
        <v>113</v>
      </c>
      <c r="E97" s="16"/>
      <c r="F97" s="16"/>
      <c r="G97" s="16"/>
      <c r="H97" s="16">
        <v>100</v>
      </c>
      <c r="I97" s="17"/>
      <c r="R97" s="9"/>
    </row>
    <row r="98" spans="1:18">
      <c r="A98" s="32">
        <v>6950</v>
      </c>
      <c r="B98" s="32"/>
      <c r="C98" s="32"/>
      <c r="D98" s="28" t="s">
        <v>114</v>
      </c>
      <c r="E98" s="13"/>
      <c r="F98" s="13"/>
      <c r="G98" s="13">
        <f>SUM(G99)</f>
        <v>310</v>
      </c>
      <c r="H98" s="13">
        <f>SUM(H99:H99)</f>
        <v>50</v>
      </c>
      <c r="I98" s="17"/>
      <c r="R98" s="9"/>
    </row>
    <row r="99" spans="1:18">
      <c r="A99" s="30">
        <v>6955</v>
      </c>
      <c r="B99" s="32"/>
      <c r="C99" s="32"/>
      <c r="D99" s="31" t="s">
        <v>115</v>
      </c>
      <c r="E99" s="16"/>
      <c r="F99" s="16"/>
      <c r="G99" s="16">
        <v>310</v>
      </c>
      <c r="H99" s="16">
        <v>50</v>
      </c>
      <c r="I99" s="17"/>
      <c r="R99" s="9"/>
    </row>
    <row r="100" spans="1:18" ht="26.25" customHeight="1">
      <c r="A100" s="38" t="s">
        <v>116</v>
      </c>
      <c r="B100" s="38"/>
      <c r="C100" s="38"/>
      <c r="D100" s="39" t="s">
        <v>128</v>
      </c>
      <c r="E100" s="20"/>
      <c r="F100" s="20">
        <v>16</v>
      </c>
      <c r="G100" s="20">
        <v>26</v>
      </c>
      <c r="H100" s="20">
        <f>H101</f>
        <v>1500</v>
      </c>
      <c r="I100" s="21"/>
      <c r="J100" s="22"/>
      <c r="K100" s="23"/>
      <c r="L100" s="22"/>
      <c r="M100" s="24"/>
      <c r="N100" s="22"/>
      <c r="O100" s="22"/>
      <c r="P100" s="22"/>
      <c r="Q100" s="22"/>
      <c r="R100" s="82" t="s">
        <v>213</v>
      </c>
    </row>
    <row r="101" spans="1:18">
      <c r="A101" s="32">
        <v>6950</v>
      </c>
      <c r="B101" s="32"/>
      <c r="C101" s="32"/>
      <c r="D101" s="12" t="s">
        <v>107</v>
      </c>
      <c r="E101" s="13"/>
      <c r="F101" s="13"/>
      <c r="G101" s="13"/>
      <c r="H101" s="13">
        <f>H102</f>
        <v>1500</v>
      </c>
      <c r="I101" s="17"/>
      <c r="R101" s="9"/>
    </row>
    <row r="102" spans="1:18">
      <c r="A102" s="30">
        <v>6959</v>
      </c>
      <c r="B102" s="30" t="s">
        <v>117</v>
      </c>
      <c r="C102" s="32"/>
      <c r="D102" s="9" t="s">
        <v>117</v>
      </c>
      <c r="E102" s="13"/>
      <c r="F102" s="13"/>
      <c r="G102" s="13"/>
      <c r="H102" s="16">
        <v>1500</v>
      </c>
      <c r="I102" s="17"/>
      <c r="R102" s="9"/>
    </row>
    <row r="103" spans="1:18">
      <c r="A103" s="11" t="s">
        <v>118</v>
      </c>
      <c r="B103" s="15"/>
      <c r="C103" s="15"/>
      <c r="D103" s="41" t="s">
        <v>119</v>
      </c>
      <c r="E103" s="13">
        <v>2788</v>
      </c>
      <c r="F103" s="13">
        <v>6388.56</v>
      </c>
      <c r="G103" s="13">
        <v>2788</v>
      </c>
      <c r="H103" s="13">
        <f>H104+H107+H110</f>
        <v>4250</v>
      </c>
      <c r="I103" s="14"/>
      <c r="K103" s="3" t="e">
        <f>#REF!</f>
        <v>#REF!</v>
      </c>
      <c r="R103" s="9"/>
    </row>
    <row r="104" spans="1:18">
      <c r="A104" s="11">
        <v>1</v>
      </c>
      <c r="B104" s="15"/>
      <c r="C104" s="15"/>
      <c r="D104" s="12" t="s">
        <v>120</v>
      </c>
      <c r="E104" s="13"/>
      <c r="F104" s="13"/>
      <c r="G104" s="13"/>
      <c r="H104" s="13">
        <f>SUM(H105:H106)</f>
        <v>97</v>
      </c>
      <c r="I104" s="14"/>
      <c r="R104" s="9"/>
    </row>
    <row r="105" spans="1:18">
      <c r="A105" s="11"/>
      <c r="B105" s="11"/>
      <c r="C105" s="11"/>
      <c r="D105" s="9" t="s">
        <v>121</v>
      </c>
      <c r="E105" s="13"/>
      <c r="F105" s="13"/>
      <c r="G105" s="13"/>
      <c r="H105" s="16">
        <f>H17*0.02</f>
        <v>82</v>
      </c>
      <c r="I105" s="14"/>
      <c r="R105" s="9"/>
    </row>
    <row r="106" spans="1:18">
      <c r="A106" s="42"/>
      <c r="B106" s="42"/>
      <c r="C106" s="42"/>
      <c r="D106" s="31" t="s">
        <v>122</v>
      </c>
      <c r="E106" s="43"/>
      <c r="F106" s="44"/>
      <c r="G106" s="43"/>
      <c r="H106" s="16">
        <f>H18*0.1</f>
        <v>15</v>
      </c>
      <c r="I106" s="45"/>
      <c r="R106" s="9"/>
    </row>
    <row r="107" spans="1:18">
      <c r="A107" s="32">
        <v>2</v>
      </c>
      <c r="B107" s="46"/>
      <c r="C107" s="46"/>
      <c r="D107" s="28" t="s">
        <v>123</v>
      </c>
      <c r="E107" s="44"/>
      <c r="F107" s="44"/>
      <c r="G107" s="44"/>
      <c r="H107" s="13">
        <f>SUM(H108:H109)</f>
        <v>3100</v>
      </c>
      <c r="I107" s="45"/>
      <c r="R107" s="9"/>
    </row>
    <row r="108" spans="1:18">
      <c r="A108" s="42"/>
      <c r="B108" s="42"/>
      <c r="C108" s="42"/>
      <c r="D108" s="9" t="s">
        <v>121</v>
      </c>
      <c r="E108" s="44"/>
      <c r="F108" s="44"/>
      <c r="G108" s="44"/>
      <c r="H108" s="16">
        <v>3000</v>
      </c>
      <c r="I108" s="47"/>
      <c r="R108" s="9"/>
    </row>
    <row r="109" spans="1:18">
      <c r="A109" s="42"/>
      <c r="B109" s="42"/>
      <c r="C109" s="42"/>
      <c r="D109" s="31" t="s">
        <v>122</v>
      </c>
      <c r="E109" s="43"/>
      <c r="F109" s="44"/>
      <c r="G109" s="43"/>
      <c r="H109" s="16">
        <v>100</v>
      </c>
      <c r="I109" s="47"/>
      <c r="L109" s="1">
        <v>3035</v>
      </c>
      <c r="M109" s="2">
        <v>2788</v>
      </c>
      <c r="R109" s="9"/>
    </row>
    <row r="110" spans="1:18">
      <c r="A110" s="11">
        <v>3</v>
      </c>
      <c r="B110" s="11"/>
      <c r="C110" s="11"/>
      <c r="D110" s="28" t="s">
        <v>124</v>
      </c>
      <c r="E110" s="13"/>
      <c r="F110" s="13"/>
      <c r="G110" s="13"/>
      <c r="H110" s="13">
        <f>SUM(H111:H112)</f>
        <v>1053</v>
      </c>
      <c r="I110" s="14"/>
      <c r="R110" s="9"/>
    </row>
    <row r="111" spans="1:18">
      <c r="A111" s="11"/>
      <c r="B111" s="11"/>
      <c r="C111" s="11"/>
      <c r="D111" s="9" t="s">
        <v>121</v>
      </c>
      <c r="E111" s="13"/>
      <c r="F111" s="13"/>
      <c r="G111" s="13"/>
      <c r="H111" s="16">
        <f>H17-H105-H108</f>
        <v>1018</v>
      </c>
      <c r="I111" s="14"/>
      <c r="R111" s="9"/>
    </row>
    <row r="112" spans="1:18">
      <c r="A112" s="11"/>
      <c r="B112" s="11"/>
      <c r="C112" s="11"/>
      <c r="D112" s="31" t="s">
        <v>122</v>
      </c>
      <c r="E112" s="13"/>
      <c r="F112" s="13"/>
      <c r="G112" s="13"/>
      <c r="H112" s="16">
        <f>H18-H106-H109</f>
        <v>35</v>
      </c>
      <c r="I112" s="14"/>
      <c r="R112" s="9"/>
    </row>
    <row r="113" spans="1:18">
      <c r="A113" s="32">
        <v>4</v>
      </c>
      <c r="B113" s="32"/>
      <c r="C113" s="32"/>
      <c r="D113" s="12" t="s">
        <v>125</v>
      </c>
      <c r="E113" s="13"/>
      <c r="F113" s="13"/>
      <c r="G113" s="13"/>
      <c r="H113" s="13">
        <f>SUM(H114:H115)</f>
        <v>421.20000000000005</v>
      </c>
      <c r="I113" s="17"/>
      <c r="R113" s="9"/>
    </row>
    <row r="114" spans="1:18">
      <c r="A114" s="30"/>
      <c r="B114" s="30"/>
      <c r="C114" s="30"/>
      <c r="D114" s="9" t="s">
        <v>121</v>
      </c>
      <c r="E114" s="16"/>
      <c r="F114" s="16"/>
      <c r="G114" s="16"/>
      <c r="H114" s="16">
        <f>0.4*H111</f>
        <v>407.20000000000005</v>
      </c>
      <c r="I114" s="17"/>
      <c r="R114" s="9"/>
    </row>
    <row r="115" spans="1:18">
      <c r="A115" s="32"/>
      <c r="B115" s="32"/>
      <c r="C115" s="32"/>
      <c r="D115" s="31" t="s">
        <v>122</v>
      </c>
      <c r="E115" s="13"/>
      <c r="F115" s="13"/>
      <c r="G115" s="13"/>
      <c r="H115" s="16">
        <f>0.4*H112</f>
        <v>14</v>
      </c>
      <c r="I115" s="14"/>
      <c r="R115" s="9"/>
    </row>
    <row r="116" spans="1:18">
      <c r="A116" s="32">
        <v>5</v>
      </c>
      <c r="B116" s="32"/>
      <c r="C116" s="32"/>
      <c r="D116" s="12" t="s">
        <v>126</v>
      </c>
      <c r="E116" s="13"/>
      <c r="F116" s="13"/>
      <c r="G116" s="13"/>
      <c r="H116" s="13">
        <f>H110-H113</f>
        <v>631.79999999999995</v>
      </c>
      <c r="I116" s="17"/>
      <c r="R116" s="9"/>
    </row>
    <row r="117" spans="1:18">
      <c r="A117" s="4"/>
      <c r="B117" s="4"/>
      <c r="C117" s="4"/>
      <c r="D117" s="48"/>
      <c r="E117" s="17"/>
      <c r="F117" s="17"/>
      <c r="G117" s="17"/>
      <c r="H117" s="17"/>
      <c r="I117" s="17"/>
    </row>
    <row r="118" spans="1:18" ht="15.75">
      <c r="A118" s="4"/>
      <c r="B118" s="4"/>
      <c r="C118" s="4"/>
      <c r="D118" s="48"/>
      <c r="E118" s="17"/>
      <c r="F118" s="17"/>
      <c r="G118" s="17"/>
      <c r="H118" s="83" t="s">
        <v>214</v>
      </c>
      <c r="I118" s="84"/>
      <c r="J118" s="53"/>
      <c r="K118" s="85"/>
      <c r="L118" s="53"/>
      <c r="M118" s="86"/>
      <c r="N118" s="53"/>
      <c r="O118" s="53"/>
      <c r="P118" s="53"/>
      <c r="Q118" s="53"/>
      <c r="R118" s="53"/>
    </row>
    <row r="119" spans="1:18" ht="15.75">
      <c r="A119" s="49"/>
      <c r="B119" s="49"/>
      <c r="C119" s="49"/>
      <c r="D119" s="49" t="s">
        <v>131</v>
      </c>
      <c r="E119" s="92" t="s">
        <v>129</v>
      </c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</row>
    <row r="120" spans="1:18" ht="15.75">
      <c r="A120" s="51"/>
      <c r="B120" s="51"/>
      <c r="C120" s="51"/>
      <c r="D120" s="51"/>
      <c r="E120" s="52"/>
      <c r="F120" s="52"/>
      <c r="G120" s="52"/>
      <c r="H120" s="92" t="s">
        <v>130</v>
      </c>
      <c r="I120" s="92"/>
      <c r="J120" s="92"/>
      <c r="K120" s="92"/>
      <c r="L120" s="92"/>
      <c r="M120" s="92"/>
      <c r="N120" s="92"/>
      <c r="O120" s="92"/>
      <c r="P120" s="92"/>
      <c r="Q120" s="92"/>
      <c r="R120" s="92"/>
    </row>
    <row r="121" spans="1:18" ht="15.75">
      <c r="A121" s="53"/>
      <c r="B121" s="53"/>
      <c r="C121" s="53"/>
      <c r="D121" s="53"/>
      <c r="E121" s="53"/>
      <c r="F121" s="53"/>
      <c r="G121" s="53"/>
      <c r="H121" s="53"/>
    </row>
    <row r="122" spans="1:18" ht="15.75">
      <c r="A122" s="54"/>
      <c r="B122" s="54"/>
      <c r="C122" s="54"/>
      <c r="D122" s="54"/>
      <c r="E122" s="54"/>
      <c r="F122" s="54"/>
      <c r="G122" s="54"/>
      <c r="H122" s="54"/>
    </row>
    <row r="123" spans="1:18" ht="15.75">
      <c r="A123" s="49"/>
      <c r="B123" s="49"/>
      <c r="C123" s="49"/>
      <c r="D123" s="54"/>
      <c r="E123" s="92"/>
      <c r="F123" s="92"/>
      <c r="G123" s="92"/>
      <c r="H123" s="92"/>
      <c r="I123" s="55"/>
    </row>
    <row r="124" spans="1:18" ht="15.75">
      <c r="A124" s="53"/>
      <c r="B124" s="53"/>
      <c r="C124" s="53"/>
      <c r="D124" s="53"/>
      <c r="E124" s="53"/>
      <c r="F124" s="53"/>
      <c r="G124" s="53"/>
      <c r="H124" s="53"/>
    </row>
    <row r="125" spans="1:18" ht="15.75">
      <c r="A125" s="87" t="s">
        <v>212</v>
      </c>
      <c r="B125" s="87"/>
      <c r="C125" s="87"/>
      <c r="D125" s="87"/>
      <c r="E125" s="53"/>
      <c r="F125" s="53"/>
      <c r="G125" s="53"/>
      <c r="H125" s="92" t="s">
        <v>132</v>
      </c>
      <c r="I125" s="92"/>
      <c r="J125" s="92"/>
      <c r="K125" s="92"/>
      <c r="L125" s="92"/>
      <c r="M125" s="92"/>
      <c r="N125" s="92"/>
      <c r="O125" s="92"/>
      <c r="P125" s="92"/>
      <c r="Q125" s="92"/>
      <c r="R125" s="92"/>
    </row>
    <row r="126" spans="1:18" ht="15.75">
      <c r="A126" s="53"/>
      <c r="B126" s="53"/>
      <c r="C126" s="53"/>
      <c r="D126" s="53"/>
      <c r="E126" s="53"/>
      <c r="F126" s="53"/>
      <c r="G126" s="53"/>
      <c r="H126" s="53"/>
    </row>
    <row r="127" spans="1:18" ht="15.75">
      <c r="A127" s="53"/>
      <c r="B127" s="53"/>
      <c r="C127" s="53"/>
      <c r="D127" s="53"/>
      <c r="E127" s="53"/>
      <c r="F127" s="53"/>
      <c r="G127" s="53"/>
      <c r="H127" s="53"/>
    </row>
    <row r="128" spans="1:18" ht="15.75">
      <c r="A128" s="53"/>
      <c r="B128" s="53"/>
      <c r="C128" s="53"/>
      <c r="D128" s="53"/>
      <c r="E128" s="53"/>
      <c r="F128" s="53"/>
      <c r="G128" s="53"/>
      <c r="H128" s="53"/>
    </row>
  </sheetData>
  <mergeCells count="15">
    <mergeCell ref="G9:H9"/>
    <mergeCell ref="F1:R2"/>
    <mergeCell ref="A4:R4"/>
    <mergeCell ref="A5:R5"/>
    <mergeCell ref="A6:R6"/>
    <mergeCell ref="A7:R7"/>
    <mergeCell ref="E123:H123"/>
    <mergeCell ref="A125:D125"/>
    <mergeCell ref="H125:R125"/>
    <mergeCell ref="E10:E11"/>
    <mergeCell ref="F10:G10"/>
    <mergeCell ref="H10:H11"/>
    <mergeCell ref="R10:R11"/>
    <mergeCell ref="E119:R119"/>
    <mergeCell ref="H120:R1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76"/>
  <sheetViews>
    <sheetView tabSelected="1" topLeftCell="A55" workbookViewId="0">
      <selection activeCell="J9" sqref="J9"/>
    </sheetView>
  </sheetViews>
  <sheetFormatPr defaultRowHeight="16.5"/>
  <cols>
    <col min="1" max="1" width="7" style="57" customWidth="1"/>
    <col min="2" max="2" width="47" style="57" customWidth="1"/>
    <col min="3" max="4" width="9.140625" style="73"/>
    <col min="5" max="5" width="14.140625" style="57" bestFit="1" customWidth="1"/>
    <col min="6" max="6" width="20.7109375" style="57" customWidth="1"/>
    <col min="7" max="7" width="14.85546875" style="57" customWidth="1"/>
    <col min="8" max="16384" width="9.140625" style="57"/>
  </cols>
  <sheetData>
    <row r="2" spans="1:7">
      <c r="A2" s="99" t="s">
        <v>210</v>
      </c>
      <c r="B2" s="99"/>
      <c r="C2" s="99"/>
      <c r="D2" s="99"/>
      <c r="E2" s="99"/>
      <c r="F2" s="99"/>
      <c r="G2" s="99"/>
    </row>
    <row r="3" spans="1:7">
      <c r="B3" s="58"/>
    </row>
    <row r="4" spans="1:7" ht="33">
      <c r="A4" s="59" t="s">
        <v>7</v>
      </c>
      <c r="B4" s="59" t="s">
        <v>133</v>
      </c>
      <c r="C4" s="59" t="s">
        <v>134</v>
      </c>
      <c r="D4" s="59" t="s">
        <v>135</v>
      </c>
      <c r="E4" s="59" t="s">
        <v>208</v>
      </c>
      <c r="F4" s="59" t="s">
        <v>136</v>
      </c>
      <c r="G4" s="60" t="s">
        <v>14</v>
      </c>
    </row>
    <row r="5" spans="1:7">
      <c r="A5" s="61">
        <v>1</v>
      </c>
      <c r="B5" s="62" t="s">
        <v>137</v>
      </c>
      <c r="C5" s="61" t="s">
        <v>138</v>
      </c>
      <c r="D5" s="61">
        <v>4</v>
      </c>
      <c r="E5" s="63">
        <v>1000000</v>
      </c>
      <c r="F5" s="63">
        <f>E5*D5</f>
        <v>4000000</v>
      </c>
      <c r="G5" s="64"/>
    </row>
    <row r="6" spans="1:7">
      <c r="A6" s="61">
        <v>2</v>
      </c>
      <c r="B6" s="62" t="s">
        <v>139</v>
      </c>
      <c r="C6" s="61" t="s">
        <v>138</v>
      </c>
      <c r="D6" s="61">
        <v>10</v>
      </c>
      <c r="E6" s="63">
        <v>2000000</v>
      </c>
      <c r="F6" s="63">
        <f t="shared" ref="F6:F69" si="0">E6*D6</f>
        <v>20000000</v>
      </c>
      <c r="G6" s="64"/>
    </row>
    <row r="7" spans="1:7">
      <c r="A7" s="61">
        <v>3</v>
      </c>
      <c r="B7" s="62" t="s">
        <v>140</v>
      </c>
      <c r="C7" s="61" t="s">
        <v>138</v>
      </c>
      <c r="D7" s="61">
        <v>4</v>
      </c>
      <c r="E7" s="63">
        <v>1400000</v>
      </c>
      <c r="F7" s="63">
        <f t="shared" si="0"/>
        <v>5600000</v>
      </c>
      <c r="G7" s="64"/>
    </row>
    <row r="8" spans="1:7">
      <c r="A8" s="61">
        <v>4</v>
      </c>
      <c r="B8" s="62" t="s">
        <v>141</v>
      </c>
      <c r="C8" s="61" t="s">
        <v>138</v>
      </c>
      <c r="D8" s="61">
        <v>4</v>
      </c>
      <c r="E8" s="63">
        <v>500000</v>
      </c>
      <c r="F8" s="63">
        <f t="shared" si="0"/>
        <v>2000000</v>
      </c>
      <c r="G8" s="64"/>
    </row>
    <row r="9" spans="1:7">
      <c r="A9" s="61">
        <v>5</v>
      </c>
      <c r="B9" s="62" t="s">
        <v>142</v>
      </c>
      <c r="C9" s="61" t="s">
        <v>138</v>
      </c>
      <c r="D9" s="61">
        <v>4</v>
      </c>
      <c r="E9" s="63">
        <v>500000</v>
      </c>
      <c r="F9" s="63">
        <f t="shared" si="0"/>
        <v>2000000</v>
      </c>
      <c r="G9" s="64"/>
    </row>
    <row r="10" spans="1:7">
      <c r="A10" s="61">
        <v>6</v>
      </c>
      <c r="B10" s="62" t="s">
        <v>143</v>
      </c>
      <c r="C10" s="61" t="s">
        <v>138</v>
      </c>
      <c r="D10" s="61">
        <v>5</v>
      </c>
      <c r="E10" s="63">
        <v>1500000</v>
      </c>
      <c r="F10" s="63">
        <f t="shared" si="0"/>
        <v>7500000</v>
      </c>
      <c r="G10" s="64"/>
    </row>
    <row r="11" spans="1:7">
      <c r="A11" s="61">
        <v>7</v>
      </c>
      <c r="B11" s="62" t="s">
        <v>144</v>
      </c>
      <c r="C11" s="61" t="s">
        <v>138</v>
      </c>
      <c r="D11" s="61">
        <v>5</v>
      </c>
      <c r="E11" s="63">
        <v>1800000</v>
      </c>
      <c r="F11" s="63">
        <f t="shared" si="0"/>
        <v>9000000</v>
      </c>
      <c r="G11" s="64"/>
    </row>
    <row r="12" spans="1:7">
      <c r="A12" s="61">
        <v>8</v>
      </c>
      <c r="B12" s="62" t="s">
        <v>145</v>
      </c>
      <c r="C12" s="61" t="s">
        <v>138</v>
      </c>
      <c r="D12" s="61">
        <v>5</v>
      </c>
      <c r="E12" s="63">
        <v>8000000</v>
      </c>
      <c r="F12" s="63">
        <f t="shared" si="0"/>
        <v>40000000</v>
      </c>
      <c r="G12" s="64"/>
    </row>
    <row r="13" spans="1:7">
      <c r="A13" s="61">
        <v>9</v>
      </c>
      <c r="B13" s="62" t="s">
        <v>146</v>
      </c>
      <c r="C13" s="61" t="s">
        <v>138</v>
      </c>
      <c r="D13" s="61">
        <v>4</v>
      </c>
      <c r="E13" s="63">
        <v>2600000</v>
      </c>
      <c r="F13" s="63">
        <f t="shared" si="0"/>
        <v>10400000</v>
      </c>
      <c r="G13" s="64"/>
    </row>
    <row r="14" spans="1:7">
      <c r="A14" s="61">
        <v>10</v>
      </c>
      <c r="B14" s="62" t="s">
        <v>147</v>
      </c>
      <c r="C14" s="61" t="s">
        <v>138</v>
      </c>
      <c r="D14" s="61">
        <v>4</v>
      </c>
      <c r="E14" s="63">
        <v>2500000</v>
      </c>
      <c r="F14" s="63">
        <f t="shared" si="0"/>
        <v>10000000</v>
      </c>
      <c r="G14" s="64"/>
    </row>
    <row r="15" spans="1:7">
      <c r="A15" s="61">
        <v>11</v>
      </c>
      <c r="B15" s="62" t="s">
        <v>148</v>
      </c>
      <c r="C15" s="61" t="s">
        <v>138</v>
      </c>
      <c r="D15" s="61">
        <v>10</v>
      </c>
      <c r="E15" s="63">
        <v>400000</v>
      </c>
      <c r="F15" s="63">
        <f t="shared" si="0"/>
        <v>4000000</v>
      </c>
      <c r="G15" s="64"/>
    </row>
    <row r="16" spans="1:7">
      <c r="A16" s="61">
        <v>12</v>
      </c>
      <c r="B16" s="62" t="s">
        <v>149</v>
      </c>
      <c r="C16" s="61" t="s">
        <v>138</v>
      </c>
      <c r="D16" s="61">
        <v>5</v>
      </c>
      <c r="E16" s="63">
        <v>400000</v>
      </c>
      <c r="F16" s="63">
        <f t="shared" si="0"/>
        <v>2000000</v>
      </c>
      <c r="G16" s="64"/>
    </row>
    <row r="17" spans="1:7">
      <c r="A17" s="61">
        <v>13</v>
      </c>
      <c r="B17" s="62" t="s">
        <v>150</v>
      </c>
      <c r="C17" s="61" t="s">
        <v>138</v>
      </c>
      <c r="D17" s="61">
        <v>5</v>
      </c>
      <c r="E17" s="63">
        <v>500000</v>
      </c>
      <c r="F17" s="63">
        <f t="shared" si="0"/>
        <v>2500000</v>
      </c>
      <c r="G17" s="64"/>
    </row>
    <row r="18" spans="1:7">
      <c r="A18" s="61">
        <v>14</v>
      </c>
      <c r="B18" s="62" t="s">
        <v>151</v>
      </c>
      <c r="C18" s="61" t="s">
        <v>138</v>
      </c>
      <c r="D18" s="61">
        <v>5</v>
      </c>
      <c r="E18" s="63">
        <v>1700000</v>
      </c>
      <c r="F18" s="63">
        <f t="shared" si="0"/>
        <v>8500000</v>
      </c>
      <c r="G18" s="64"/>
    </row>
    <row r="19" spans="1:7">
      <c r="A19" s="61">
        <v>15</v>
      </c>
      <c r="B19" s="62" t="s">
        <v>152</v>
      </c>
      <c r="C19" s="61" t="s">
        <v>138</v>
      </c>
      <c r="D19" s="61">
        <v>4</v>
      </c>
      <c r="E19" s="63">
        <v>600000</v>
      </c>
      <c r="F19" s="63">
        <f t="shared" si="0"/>
        <v>2400000</v>
      </c>
      <c r="G19" s="64"/>
    </row>
    <row r="20" spans="1:7">
      <c r="A20" s="61">
        <v>16</v>
      </c>
      <c r="B20" s="62" t="s">
        <v>153</v>
      </c>
      <c r="C20" s="61" t="s">
        <v>138</v>
      </c>
      <c r="D20" s="61">
        <v>5</v>
      </c>
      <c r="E20" s="63">
        <v>1700000</v>
      </c>
      <c r="F20" s="63">
        <f t="shared" si="0"/>
        <v>8500000</v>
      </c>
      <c r="G20" s="64"/>
    </row>
    <row r="21" spans="1:7">
      <c r="A21" s="61">
        <v>17</v>
      </c>
      <c r="B21" s="62" t="s">
        <v>154</v>
      </c>
      <c r="C21" s="61" t="s">
        <v>138</v>
      </c>
      <c r="D21" s="61">
        <v>5</v>
      </c>
      <c r="E21" s="63">
        <v>1700000</v>
      </c>
      <c r="F21" s="63">
        <f t="shared" si="0"/>
        <v>8500000</v>
      </c>
      <c r="G21" s="64"/>
    </row>
    <row r="22" spans="1:7">
      <c r="A22" s="61">
        <v>18</v>
      </c>
      <c r="B22" s="62" t="s">
        <v>155</v>
      </c>
      <c r="C22" s="61" t="s">
        <v>138</v>
      </c>
      <c r="D22" s="61">
        <v>8</v>
      </c>
      <c r="E22" s="63">
        <v>5000000</v>
      </c>
      <c r="F22" s="63">
        <f t="shared" si="0"/>
        <v>40000000</v>
      </c>
      <c r="G22" s="64"/>
    </row>
    <row r="23" spans="1:7">
      <c r="A23" s="61">
        <v>19</v>
      </c>
      <c r="B23" s="62" t="s">
        <v>156</v>
      </c>
      <c r="C23" s="61" t="s">
        <v>138</v>
      </c>
      <c r="D23" s="61">
        <v>4</v>
      </c>
      <c r="E23" s="63">
        <v>3500000</v>
      </c>
      <c r="F23" s="63">
        <f t="shared" si="0"/>
        <v>14000000</v>
      </c>
      <c r="G23" s="64"/>
    </row>
    <row r="24" spans="1:7">
      <c r="A24" s="61">
        <v>20</v>
      </c>
      <c r="B24" s="62" t="s">
        <v>157</v>
      </c>
      <c r="C24" s="61" t="s">
        <v>138</v>
      </c>
      <c r="D24" s="61">
        <v>5</v>
      </c>
      <c r="E24" s="63">
        <v>3500000</v>
      </c>
      <c r="F24" s="63">
        <f t="shared" si="0"/>
        <v>17500000</v>
      </c>
      <c r="G24" s="64"/>
    </row>
    <row r="25" spans="1:7">
      <c r="A25" s="61">
        <v>21</v>
      </c>
      <c r="B25" s="62" t="s">
        <v>158</v>
      </c>
      <c r="C25" s="61" t="s">
        <v>138</v>
      </c>
      <c r="D25" s="61">
        <v>5</v>
      </c>
      <c r="E25" s="63">
        <v>3550000</v>
      </c>
      <c r="F25" s="63">
        <f t="shared" si="0"/>
        <v>17750000</v>
      </c>
      <c r="G25" s="64"/>
    </row>
    <row r="26" spans="1:7">
      <c r="A26" s="61">
        <v>22</v>
      </c>
      <c r="B26" s="62" t="s">
        <v>159</v>
      </c>
      <c r="C26" s="61" t="s">
        <v>138</v>
      </c>
      <c r="D26" s="61">
        <v>4</v>
      </c>
      <c r="E26" s="63">
        <v>350000</v>
      </c>
      <c r="F26" s="63">
        <f t="shared" si="0"/>
        <v>1400000</v>
      </c>
      <c r="G26" s="64"/>
    </row>
    <row r="27" spans="1:7" ht="33">
      <c r="A27" s="61">
        <v>23</v>
      </c>
      <c r="B27" s="62" t="s">
        <v>160</v>
      </c>
      <c r="C27" s="61" t="s">
        <v>138</v>
      </c>
      <c r="D27" s="61">
        <v>5</v>
      </c>
      <c r="E27" s="76">
        <v>8000000</v>
      </c>
      <c r="F27" s="76">
        <f t="shared" si="0"/>
        <v>40000000</v>
      </c>
      <c r="G27" s="64"/>
    </row>
    <row r="28" spans="1:7">
      <c r="A28" s="61">
        <v>24</v>
      </c>
      <c r="B28" s="62" t="s">
        <v>161</v>
      </c>
      <c r="C28" s="61" t="s">
        <v>138</v>
      </c>
      <c r="D28" s="61">
        <v>5</v>
      </c>
      <c r="E28" s="63">
        <v>600000</v>
      </c>
      <c r="F28" s="63">
        <f t="shared" si="0"/>
        <v>3000000</v>
      </c>
      <c r="G28" s="64"/>
    </row>
    <row r="29" spans="1:7">
      <c r="A29" s="61">
        <v>25</v>
      </c>
      <c r="B29" s="62" t="s">
        <v>162</v>
      </c>
      <c r="C29" s="61" t="s">
        <v>138</v>
      </c>
      <c r="D29" s="61">
        <v>5</v>
      </c>
      <c r="E29" s="63">
        <v>400000</v>
      </c>
      <c r="F29" s="63">
        <f t="shared" si="0"/>
        <v>2000000</v>
      </c>
      <c r="G29" s="64"/>
    </row>
    <row r="30" spans="1:7">
      <c r="A30" s="61">
        <v>26</v>
      </c>
      <c r="B30" s="62" t="s">
        <v>163</v>
      </c>
      <c r="C30" s="61" t="s">
        <v>138</v>
      </c>
      <c r="D30" s="61">
        <v>4</v>
      </c>
      <c r="E30" s="63">
        <v>750000</v>
      </c>
      <c r="F30" s="63">
        <f t="shared" si="0"/>
        <v>3000000</v>
      </c>
      <c r="G30" s="64"/>
    </row>
    <row r="31" spans="1:7">
      <c r="A31" s="61">
        <v>27</v>
      </c>
      <c r="B31" s="62" t="s">
        <v>164</v>
      </c>
      <c r="C31" s="61" t="s">
        <v>138</v>
      </c>
      <c r="D31" s="61">
        <v>4</v>
      </c>
      <c r="E31" s="63">
        <v>450000</v>
      </c>
      <c r="F31" s="63">
        <f t="shared" si="0"/>
        <v>1800000</v>
      </c>
      <c r="G31" s="64"/>
    </row>
    <row r="32" spans="1:7">
      <c r="A32" s="61">
        <v>28</v>
      </c>
      <c r="B32" s="62" t="s">
        <v>165</v>
      </c>
      <c r="C32" s="61" t="s">
        <v>138</v>
      </c>
      <c r="D32" s="61">
        <v>10</v>
      </c>
      <c r="E32" s="63">
        <v>750000</v>
      </c>
      <c r="F32" s="63">
        <f t="shared" si="0"/>
        <v>7500000</v>
      </c>
      <c r="G32" s="64"/>
    </row>
    <row r="33" spans="1:7">
      <c r="A33" s="61">
        <v>29</v>
      </c>
      <c r="B33" s="62" t="s">
        <v>166</v>
      </c>
      <c r="C33" s="61" t="s">
        <v>138</v>
      </c>
      <c r="D33" s="61">
        <v>4</v>
      </c>
      <c r="E33" s="63">
        <v>3200000</v>
      </c>
      <c r="F33" s="63">
        <f t="shared" si="0"/>
        <v>12800000</v>
      </c>
      <c r="G33" s="64"/>
    </row>
    <row r="34" spans="1:7">
      <c r="A34" s="61">
        <v>30</v>
      </c>
      <c r="B34" s="62" t="s">
        <v>167</v>
      </c>
      <c r="C34" s="61" t="s">
        <v>138</v>
      </c>
      <c r="D34" s="61">
        <v>4</v>
      </c>
      <c r="E34" s="63">
        <v>3000000</v>
      </c>
      <c r="F34" s="63">
        <f t="shared" si="0"/>
        <v>12000000</v>
      </c>
      <c r="G34" s="64"/>
    </row>
    <row r="35" spans="1:7">
      <c r="A35" s="61">
        <v>31</v>
      </c>
      <c r="B35" s="62" t="s">
        <v>168</v>
      </c>
      <c r="C35" s="61" t="s">
        <v>138</v>
      </c>
      <c r="D35" s="61">
        <v>4</v>
      </c>
      <c r="E35" s="63">
        <v>3000000</v>
      </c>
      <c r="F35" s="63">
        <f t="shared" si="0"/>
        <v>12000000</v>
      </c>
      <c r="G35" s="64"/>
    </row>
    <row r="36" spans="1:7">
      <c r="A36" s="61">
        <v>32</v>
      </c>
      <c r="B36" s="62" t="s">
        <v>169</v>
      </c>
      <c r="C36" s="61" t="s">
        <v>138</v>
      </c>
      <c r="D36" s="61">
        <v>10</v>
      </c>
      <c r="E36" s="63">
        <v>650000</v>
      </c>
      <c r="F36" s="63">
        <f t="shared" si="0"/>
        <v>6500000</v>
      </c>
      <c r="G36" s="64"/>
    </row>
    <row r="37" spans="1:7">
      <c r="A37" s="61">
        <v>33</v>
      </c>
      <c r="B37" s="62" t="s">
        <v>170</v>
      </c>
      <c r="C37" s="61" t="s">
        <v>138</v>
      </c>
      <c r="D37" s="61">
        <v>4</v>
      </c>
      <c r="E37" s="63">
        <v>500000</v>
      </c>
      <c r="F37" s="63">
        <f t="shared" si="0"/>
        <v>2000000</v>
      </c>
      <c r="G37" s="64"/>
    </row>
    <row r="38" spans="1:7">
      <c r="A38" s="61">
        <v>34</v>
      </c>
      <c r="B38" s="62" t="s">
        <v>171</v>
      </c>
      <c r="C38" s="61" t="s">
        <v>138</v>
      </c>
      <c r="D38" s="61">
        <v>4</v>
      </c>
      <c r="E38" s="63">
        <v>1000000</v>
      </c>
      <c r="F38" s="63">
        <f>E39*D38</f>
        <v>10000000</v>
      </c>
      <c r="G38" s="64"/>
    </row>
    <row r="39" spans="1:7">
      <c r="A39" s="61">
        <v>35</v>
      </c>
      <c r="B39" s="62" t="s">
        <v>172</v>
      </c>
      <c r="C39" s="61" t="s">
        <v>138</v>
      </c>
      <c r="D39" s="61">
        <v>10</v>
      </c>
      <c r="E39" s="63">
        <v>2500000</v>
      </c>
      <c r="F39" s="63">
        <f>E40*D39</f>
        <v>10000000</v>
      </c>
      <c r="G39" s="64"/>
    </row>
    <row r="40" spans="1:7">
      <c r="A40" s="61">
        <v>36</v>
      </c>
      <c r="B40" s="62" t="s">
        <v>173</v>
      </c>
      <c r="C40" s="61" t="s">
        <v>138</v>
      </c>
      <c r="D40" s="61">
        <v>4</v>
      </c>
      <c r="E40" s="63">
        <v>1000000</v>
      </c>
      <c r="F40" s="63">
        <f t="shared" si="0"/>
        <v>4000000</v>
      </c>
      <c r="G40" s="64"/>
    </row>
    <row r="41" spans="1:7">
      <c r="A41" s="61">
        <v>37</v>
      </c>
      <c r="B41" s="62" t="s">
        <v>174</v>
      </c>
      <c r="C41" s="61" t="s">
        <v>138</v>
      </c>
      <c r="D41" s="61">
        <v>10</v>
      </c>
      <c r="E41" s="63">
        <v>1400000</v>
      </c>
      <c r="F41" s="63">
        <f t="shared" si="0"/>
        <v>14000000</v>
      </c>
      <c r="G41" s="64"/>
    </row>
    <row r="42" spans="1:7">
      <c r="A42" s="61">
        <v>38</v>
      </c>
      <c r="B42" s="64" t="s">
        <v>175</v>
      </c>
      <c r="C42" s="74" t="s">
        <v>176</v>
      </c>
      <c r="D42" s="74">
        <v>3</v>
      </c>
      <c r="E42" s="63">
        <v>45000000</v>
      </c>
      <c r="F42" s="63">
        <f t="shared" si="0"/>
        <v>135000000</v>
      </c>
      <c r="G42" s="64"/>
    </row>
    <row r="43" spans="1:7">
      <c r="A43" s="61">
        <v>39</v>
      </c>
      <c r="B43" s="64" t="s">
        <v>177</v>
      </c>
      <c r="C43" s="74" t="s">
        <v>178</v>
      </c>
      <c r="D43" s="74">
        <v>2</v>
      </c>
      <c r="E43" s="63">
        <v>3000000</v>
      </c>
      <c r="F43" s="63">
        <f t="shared" si="0"/>
        <v>6000000</v>
      </c>
      <c r="G43" s="64"/>
    </row>
    <row r="44" spans="1:7">
      <c r="A44" s="61">
        <v>40</v>
      </c>
      <c r="B44" s="64" t="s">
        <v>179</v>
      </c>
      <c r="C44" s="74" t="s">
        <v>176</v>
      </c>
      <c r="D44" s="74">
        <v>5</v>
      </c>
      <c r="E44" s="63">
        <v>23000000</v>
      </c>
      <c r="F44" s="63">
        <f t="shared" si="0"/>
        <v>115000000</v>
      </c>
      <c r="G44" s="64"/>
    </row>
    <row r="45" spans="1:7">
      <c r="A45" s="61">
        <v>41</v>
      </c>
      <c r="B45" s="64" t="s">
        <v>180</v>
      </c>
      <c r="C45" s="74" t="s">
        <v>176</v>
      </c>
      <c r="D45" s="74">
        <v>5</v>
      </c>
      <c r="E45" s="63">
        <v>8000000</v>
      </c>
      <c r="F45" s="63">
        <f t="shared" si="0"/>
        <v>40000000</v>
      </c>
      <c r="G45" s="64"/>
    </row>
    <row r="46" spans="1:7">
      <c r="A46" s="61">
        <v>42</v>
      </c>
      <c r="B46" s="64" t="s">
        <v>181</v>
      </c>
      <c r="C46" s="74" t="s">
        <v>176</v>
      </c>
      <c r="D46" s="74">
        <v>5</v>
      </c>
      <c r="E46" s="63">
        <v>3500000</v>
      </c>
      <c r="F46" s="63">
        <f t="shared" si="0"/>
        <v>17500000</v>
      </c>
      <c r="G46" s="64"/>
    </row>
    <row r="47" spans="1:7">
      <c r="A47" s="61">
        <v>43</v>
      </c>
      <c r="B47" s="64" t="s">
        <v>182</v>
      </c>
      <c r="C47" s="74" t="s">
        <v>176</v>
      </c>
      <c r="D47" s="74">
        <v>5</v>
      </c>
      <c r="E47" s="63">
        <v>1100000</v>
      </c>
      <c r="F47" s="63">
        <f t="shared" si="0"/>
        <v>5500000</v>
      </c>
      <c r="G47" s="64"/>
    </row>
    <row r="48" spans="1:7">
      <c r="A48" s="61">
        <v>44</v>
      </c>
      <c r="B48" s="64" t="s">
        <v>183</v>
      </c>
      <c r="C48" s="74" t="s">
        <v>176</v>
      </c>
      <c r="D48" s="74">
        <v>5</v>
      </c>
      <c r="E48" s="63">
        <v>8000000</v>
      </c>
      <c r="F48" s="63">
        <f t="shared" si="0"/>
        <v>40000000</v>
      </c>
      <c r="G48" s="64"/>
    </row>
    <row r="49" spans="1:7">
      <c r="A49" s="61">
        <v>45</v>
      </c>
      <c r="B49" s="64" t="s">
        <v>184</v>
      </c>
      <c r="C49" s="74" t="s">
        <v>185</v>
      </c>
      <c r="D49" s="74">
        <v>20</v>
      </c>
      <c r="E49" s="63">
        <v>450000</v>
      </c>
      <c r="F49" s="63">
        <f t="shared" si="0"/>
        <v>9000000</v>
      </c>
      <c r="G49" s="64"/>
    </row>
    <row r="50" spans="1:7" s="77" customFormat="1" ht="37.5">
      <c r="A50" s="61">
        <v>46</v>
      </c>
      <c r="B50" s="65" t="s">
        <v>186</v>
      </c>
      <c r="C50" s="66" t="s">
        <v>176</v>
      </c>
      <c r="D50" s="66">
        <v>5</v>
      </c>
      <c r="E50" s="67">
        <v>25000000</v>
      </c>
      <c r="F50" s="76">
        <f t="shared" si="0"/>
        <v>125000000</v>
      </c>
      <c r="G50" s="76"/>
    </row>
    <row r="51" spans="1:7" ht="18.75">
      <c r="A51" s="61">
        <v>47</v>
      </c>
      <c r="B51" s="68" t="s">
        <v>187</v>
      </c>
      <c r="C51" s="75" t="s">
        <v>188</v>
      </c>
      <c r="D51" s="75">
        <v>1</v>
      </c>
      <c r="E51" s="69">
        <v>25000000</v>
      </c>
      <c r="F51" s="69">
        <f t="shared" si="0"/>
        <v>25000000</v>
      </c>
      <c r="G51" s="63"/>
    </row>
    <row r="52" spans="1:7" ht="18.75">
      <c r="A52" s="61">
        <v>48</v>
      </c>
      <c r="B52" s="68" t="s">
        <v>189</v>
      </c>
      <c r="C52" s="75" t="s">
        <v>188</v>
      </c>
      <c r="D52" s="75">
        <v>5</v>
      </c>
      <c r="E52" s="69">
        <v>300000</v>
      </c>
      <c r="F52" s="69">
        <f t="shared" si="0"/>
        <v>1500000</v>
      </c>
      <c r="G52" s="63"/>
    </row>
    <row r="53" spans="1:7" ht="18.75">
      <c r="A53" s="61">
        <v>49</v>
      </c>
      <c r="B53" s="68" t="s">
        <v>190</v>
      </c>
      <c r="C53" s="75" t="s">
        <v>188</v>
      </c>
      <c r="D53" s="75">
        <v>10</v>
      </c>
      <c r="E53" s="69">
        <v>250000</v>
      </c>
      <c r="F53" s="69">
        <f t="shared" si="0"/>
        <v>2500000</v>
      </c>
      <c r="G53" s="63"/>
    </row>
    <row r="54" spans="1:7" ht="37.5">
      <c r="A54" s="61">
        <v>50</v>
      </c>
      <c r="B54" s="79" t="s">
        <v>211</v>
      </c>
      <c r="C54" s="80" t="s">
        <v>188</v>
      </c>
      <c r="D54" s="80">
        <v>1</v>
      </c>
      <c r="E54" s="81">
        <v>15000000</v>
      </c>
      <c r="F54" s="81">
        <f t="shared" si="0"/>
        <v>15000000</v>
      </c>
      <c r="G54" s="63"/>
    </row>
    <row r="55" spans="1:7" ht="18.75">
      <c r="A55" s="61">
        <v>51</v>
      </c>
      <c r="B55" s="68" t="s">
        <v>191</v>
      </c>
      <c r="C55" s="75" t="s">
        <v>188</v>
      </c>
      <c r="D55" s="75">
        <v>5</v>
      </c>
      <c r="E55" s="69">
        <v>500000</v>
      </c>
      <c r="F55" s="69">
        <f t="shared" si="0"/>
        <v>2500000</v>
      </c>
      <c r="G55" s="63"/>
    </row>
    <row r="56" spans="1:7" ht="18.75">
      <c r="A56" s="61">
        <v>52</v>
      </c>
      <c r="B56" s="68" t="s">
        <v>192</v>
      </c>
      <c r="C56" s="75" t="s">
        <v>188</v>
      </c>
      <c r="D56" s="75">
        <v>10</v>
      </c>
      <c r="E56" s="69">
        <v>1200000</v>
      </c>
      <c r="F56" s="69">
        <f t="shared" si="0"/>
        <v>12000000</v>
      </c>
      <c r="G56" s="63"/>
    </row>
    <row r="57" spans="1:7" ht="18.75">
      <c r="A57" s="61">
        <v>53</v>
      </c>
      <c r="B57" s="68" t="s">
        <v>193</v>
      </c>
      <c r="C57" s="75" t="s">
        <v>176</v>
      </c>
      <c r="D57" s="75">
        <v>5</v>
      </c>
      <c r="E57" s="69">
        <v>2000000</v>
      </c>
      <c r="F57" s="69">
        <f t="shared" si="0"/>
        <v>10000000</v>
      </c>
      <c r="G57" s="63"/>
    </row>
    <row r="58" spans="1:7" ht="18.75">
      <c r="A58" s="61">
        <v>54</v>
      </c>
      <c r="B58" s="68" t="s">
        <v>194</v>
      </c>
      <c r="C58" s="75" t="s">
        <v>176</v>
      </c>
      <c r="D58" s="75">
        <v>5</v>
      </c>
      <c r="E58" s="69">
        <v>1200000</v>
      </c>
      <c r="F58" s="69">
        <f t="shared" si="0"/>
        <v>6000000</v>
      </c>
      <c r="G58" s="63"/>
    </row>
    <row r="59" spans="1:7" ht="18.75">
      <c r="A59" s="61">
        <v>55</v>
      </c>
      <c r="B59" s="68" t="s">
        <v>195</v>
      </c>
      <c r="C59" s="75" t="s">
        <v>138</v>
      </c>
      <c r="D59" s="75">
        <v>5</v>
      </c>
      <c r="E59" s="69">
        <v>1500000</v>
      </c>
      <c r="F59" s="69">
        <f t="shared" si="0"/>
        <v>7500000</v>
      </c>
      <c r="G59" s="63"/>
    </row>
    <row r="60" spans="1:7" ht="18.75">
      <c r="A60" s="61">
        <v>56</v>
      </c>
      <c r="B60" s="68" t="s">
        <v>196</v>
      </c>
      <c r="C60" s="75" t="s">
        <v>176</v>
      </c>
      <c r="D60" s="75">
        <v>1</v>
      </c>
      <c r="E60" s="69">
        <v>2500000</v>
      </c>
      <c r="F60" s="69">
        <f t="shared" si="0"/>
        <v>2500000</v>
      </c>
      <c r="G60" s="70"/>
    </row>
    <row r="61" spans="1:7" ht="18.75">
      <c r="A61" s="61">
        <v>57</v>
      </c>
      <c r="B61" s="65" t="s">
        <v>197</v>
      </c>
      <c r="C61" s="66" t="s">
        <v>178</v>
      </c>
      <c r="D61" s="66">
        <v>2</v>
      </c>
      <c r="E61" s="63">
        <v>12000000</v>
      </c>
      <c r="F61" s="63">
        <f t="shared" si="0"/>
        <v>24000000</v>
      </c>
      <c r="G61" s="64"/>
    </row>
    <row r="62" spans="1:7" ht="18.75">
      <c r="A62" s="61">
        <v>58</v>
      </c>
      <c r="B62" s="65" t="s">
        <v>198</v>
      </c>
      <c r="C62" s="66" t="s">
        <v>199</v>
      </c>
      <c r="D62" s="66">
        <v>3</v>
      </c>
      <c r="E62" s="63">
        <v>1900000</v>
      </c>
      <c r="F62" s="63">
        <f t="shared" si="0"/>
        <v>5700000</v>
      </c>
      <c r="G62" s="64"/>
    </row>
    <row r="63" spans="1:7" ht="18.75">
      <c r="A63" s="61">
        <v>59</v>
      </c>
      <c r="B63" s="65" t="s">
        <v>200</v>
      </c>
      <c r="C63" s="66" t="s">
        <v>178</v>
      </c>
      <c r="D63" s="66">
        <v>5</v>
      </c>
      <c r="E63" s="63">
        <v>1900000</v>
      </c>
      <c r="F63" s="63">
        <f t="shared" si="0"/>
        <v>9500000</v>
      </c>
      <c r="G63" s="64"/>
    </row>
    <row r="64" spans="1:7" ht="18.75">
      <c r="A64" s="61">
        <v>60</v>
      </c>
      <c r="B64" s="65" t="s">
        <v>201</v>
      </c>
      <c r="C64" s="66" t="s">
        <v>202</v>
      </c>
      <c r="D64" s="66">
        <v>5</v>
      </c>
      <c r="E64" s="63">
        <v>1900000</v>
      </c>
      <c r="F64" s="63">
        <f t="shared" si="0"/>
        <v>9500000</v>
      </c>
      <c r="G64" s="64"/>
    </row>
    <row r="65" spans="1:7" ht="18.75">
      <c r="A65" s="61">
        <v>61</v>
      </c>
      <c r="B65" s="65" t="s">
        <v>203</v>
      </c>
      <c r="C65" s="66" t="s">
        <v>178</v>
      </c>
      <c r="D65" s="66">
        <v>3</v>
      </c>
      <c r="E65" s="63">
        <v>1900000</v>
      </c>
      <c r="F65" s="63">
        <f t="shared" si="0"/>
        <v>5700000</v>
      </c>
      <c r="G65" s="64"/>
    </row>
    <row r="66" spans="1:7" ht="18.75">
      <c r="A66" s="61">
        <v>62</v>
      </c>
      <c r="B66" s="65" t="s">
        <v>204</v>
      </c>
      <c r="C66" s="66" t="s">
        <v>202</v>
      </c>
      <c r="D66" s="66">
        <v>1</v>
      </c>
      <c r="E66" s="63">
        <v>33000000</v>
      </c>
      <c r="F66" s="63">
        <f t="shared" si="0"/>
        <v>33000000</v>
      </c>
      <c r="G66" s="64"/>
    </row>
    <row r="67" spans="1:7" ht="18.75">
      <c r="A67" s="61">
        <v>63</v>
      </c>
      <c r="B67" s="64" t="s">
        <v>205</v>
      </c>
      <c r="C67" s="66" t="s">
        <v>202</v>
      </c>
      <c r="D67" s="66">
        <v>1</v>
      </c>
      <c r="E67" s="63">
        <v>53000000</v>
      </c>
      <c r="F67" s="63">
        <f t="shared" si="0"/>
        <v>53000000</v>
      </c>
      <c r="G67" s="64"/>
    </row>
    <row r="68" spans="1:7" ht="18.75">
      <c r="A68" s="61">
        <v>64</v>
      </c>
      <c r="B68" s="64" t="s">
        <v>206</v>
      </c>
      <c r="C68" s="66" t="s">
        <v>202</v>
      </c>
      <c r="D68" s="66">
        <v>1</v>
      </c>
      <c r="E68" s="63">
        <v>9000000</v>
      </c>
      <c r="F68" s="63">
        <f t="shared" si="0"/>
        <v>9000000</v>
      </c>
      <c r="G68" s="64"/>
    </row>
    <row r="69" spans="1:7" ht="18.75">
      <c r="A69" s="61">
        <v>65</v>
      </c>
      <c r="B69" s="65" t="s">
        <v>207</v>
      </c>
      <c r="C69" s="66" t="s">
        <v>178</v>
      </c>
      <c r="D69" s="66">
        <v>1</v>
      </c>
      <c r="E69" s="63">
        <v>350000000</v>
      </c>
      <c r="F69" s="63">
        <f t="shared" si="0"/>
        <v>350000000</v>
      </c>
      <c r="G69" s="70"/>
    </row>
    <row r="70" spans="1:7">
      <c r="A70" s="64"/>
      <c r="B70" s="78" t="s">
        <v>209</v>
      </c>
      <c r="C70" s="74"/>
      <c r="D70" s="74"/>
      <c r="E70" s="63"/>
      <c r="F70" s="70">
        <f>SUM(F5:F69)</f>
        <v>1455050000</v>
      </c>
      <c r="G70" s="64"/>
    </row>
    <row r="71" spans="1:7">
      <c r="E71" s="71"/>
    </row>
    <row r="72" spans="1:7">
      <c r="B72" s="72"/>
      <c r="E72" s="71"/>
    </row>
    <row r="73" spans="1:7">
      <c r="B73" s="72"/>
      <c r="E73" s="71"/>
    </row>
    <row r="74" spans="1:7">
      <c r="B74" s="72"/>
      <c r="E74" s="71"/>
    </row>
    <row r="75" spans="1:7">
      <c r="E75" s="71"/>
    </row>
    <row r="76" spans="1:7">
      <c r="E76" s="71"/>
    </row>
  </sheetData>
  <mergeCells count="1"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Mau so 02 TT612017</vt:lpstr>
      <vt:lpstr>Mẫu số 02.TT61.2017</vt:lpstr>
      <vt:lpstr>DM. trang thiết bị gói 1.5t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TDT</dc:creator>
  <cp:lastModifiedBy>TUAN ANH</cp:lastModifiedBy>
  <dcterms:created xsi:type="dcterms:W3CDTF">2024-01-03T00:56:10Z</dcterms:created>
  <dcterms:modified xsi:type="dcterms:W3CDTF">2024-04-08T15:34:43Z</dcterms:modified>
</cp:coreProperties>
</file>